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defaultThemeVersion="124226"/>
  <mc:AlternateContent xmlns:mc="http://schemas.openxmlformats.org/markup-compatibility/2006">
    <mc:Choice Requires="x15">
      <x15ac:absPath xmlns:x15ac="http://schemas.microsoft.com/office/spreadsheetml/2010/11/ac" url="C:\Users\rbrewer\AABrewer - HI EALs\HDOH EALs 2017 updates\HDOH Public Files (2017)\Advanced EHE Models\"/>
    </mc:Choice>
  </mc:AlternateContent>
  <bookViews>
    <workbookView xWindow="120" yWindow="120" windowWidth="10335" windowHeight="7785" tabRatio="689"/>
  </bookViews>
  <sheets>
    <sheet name="Tier 2 Direct Exposure ALs" sheetId="94" r:id="rId1"/>
    <sheet name="Soil DE Model Factors" sheetId="44" r:id="rId2"/>
    <sheet name="Tier 2 Calculations Detailed" sheetId="74" r:id="rId3"/>
    <sheet name="Table H (Constants)" sheetId="42" r:id="rId4"/>
    <sheet name="Table J (Target Health Effects)" sheetId="49" r:id="rId5"/>
  </sheets>
  <definedNames>
    <definedName name="_xlnm.Print_Area" localSheetId="1">'Soil DE Model Factors'!$B$1:$H$61</definedName>
    <definedName name="_xlnm.Print_Area" localSheetId="3">'Table H (Constants)'!$A$1:$R$165</definedName>
    <definedName name="_xlnm.Print_Area" localSheetId="0">'Tier 2 Direct Exposure ALs'!$B$1:$G$61</definedName>
    <definedName name="_xlnm.Print_Titles" localSheetId="3">'Table H (Constants)'!$1:$9</definedName>
    <definedName name="_xlnm.Print_Titles" localSheetId="4">'Table J (Target Health Effects)'!$1:$4</definedName>
    <definedName name="_xlnm.Print_Titles" localSheetId="2">'Tier 2 Calculations Detailed'!$1:$4</definedName>
  </definedNames>
  <calcPr calcId="171027"/>
</workbook>
</file>

<file path=xl/calcChain.xml><?xml version="1.0" encoding="utf-8"?>
<calcChain xmlns="http://schemas.openxmlformats.org/spreadsheetml/2006/main">
  <c r="D126" i="74" l="1"/>
  <c r="D116" i="74"/>
  <c r="D103" i="74"/>
  <c r="D93" i="74"/>
  <c r="D80" i="74"/>
  <c r="D40" i="74"/>
  <c r="D41" i="74"/>
  <c r="D36" i="74"/>
  <c r="D30" i="74"/>
  <c r="D15" i="74"/>
  <c r="D25" i="74"/>
  <c r="D27" i="74"/>
  <c r="D35" i="74" s="1"/>
  <c r="D26" i="74"/>
  <c r="D31" i="74" s="1"/>
  <c r="D19" i="74" l="1"/>
  <c r="D17" i="74"/>
  <c r="D16" i="74"/>
  <c r="D12" i="74"/>
  <c r="D13" i="74"/>
  <c r="D14" i="74"/>
  <c r="D22" i="74"/>
  <c r="D21" i="74"/>
  <c r="D20" i="74"/>
  <c r="H40" i="44" l="1"/>
  <c r="H23" i="44" l="1"/>
  <c r="H17" i="44"/>
  <c r="H5" i="44" l="1"/>
  <c r="H27" i="44"/>
  <c r="H28" i="44"/>
  <c r="H29" i="44"/>
  <c r="H30" i="44"/>
  <c r="G31" i="44"/>
  <c r="H31" i="44"/>
  <c r="H18" i="44"/>
  <c r="H19" i="44"/>
  <c r="H20" i="44"/>
  <c r="H21" i="44"/>
  <c r="H22" i="44"/>
  <c r="H24" i="44"/>
  <c r="H25" i="44"/>
  <c r="H26" i="44"/>
  <c r="H32" i="44"/>
  <c r="H33" i="44"/>
  <c r="H35" i="44"/>
  <c r="G46" i="44" s="1"/>
  <c r="H36" i="44"/>
  <c r="H37" i="44"/>
  <c r="D18" i="74"/>
  <c r="D11" i="74"/>
  <c r="D10" i="74"/>
  <c r="D9" i="74"/>
  <c r="D24" i="74" s="1"/>
  <c r="D8" i="74"/>
  <c r="D7" i="74"/>
  <c r="D6" i="74"/>
  <c r="G38" i="44"/>
  <c r="G51" i="44"/>
  <c r="G52" i="44" s="1"/>
  <c r="G53" i="44"/>
  <c r="F17" i="94"/>
  <c r="B46" i="74"/>
  <c r="B3" i="74"/>
  <c r="E25" i="94"/>
  <c r="E24" i="94"/>
  <c r="H16" i="44"/>
  <c r="H15" i="44"/>
  <c r="H14" i="44"/>
  <c r="H13" i="44"/>
  <c r="H12" i="44"/>
  <c r="H11" i="44"/>
  <c r="H10" i="44"/>
  <c r="H9" i="44"/>
  <c r="H8" i="44"/>
  <c r="H7" i="44"/>
  <c r="H6" i="44"/>
  <c r="B34" i="94"/>
  <c r="B33" i="94"/>
  <c r="C53" i="74" l="1"/>
  <c r="D73" i="74"/>
  <c r="D76" i="74"/>
  <c r="C50" i="74" s="1"/>
  <c r="D35" i="94" s="1"/>
  <c r="D68" i="74"/>
  <c r="D71" i="74"/>
  <c r="D70" i="74"/>
  <c r="D69" i="74"/>
  <c r="D117" i="74"/>
  <c r="D94" i="74"/>
  <c r="D61" i="74"/>
  <c r="D78" i="74"/>
  <c r="D125" i="74"/>
  <c r="D124" i="74"/>
  <c r="D102" i="74"/>
  <c r="D101" i="74"/>
  <c r="D79" i="74"/>
  <c r="D104" i="74"/>
  <c r="D127" i="74"/>
  <c r="D81" i="74"/>
  <c r="D91" i="74"/>
  <c r="D58" i="74"/>
  <c r="D115" i="74"/>
  <c r="D114" i="74"/>
  <c r="D92" i="74"/>
  <c r="G47" i="44"/>
  <c r="D59" i="74" s="1"/>
  <c r="G49" i="44"/>
  <c r="D74" i="74"/>
  <c r="G48" i="44"/>
  <c r="D28" i="74"/>
  <c r="D72" i="74"/>
  <c r="D75" i="74"/>
  <c r="D42" i="74" l="1"/>
  <c r="D37" i="74" l="1"/>
  <c r="D106" i="74" s="1"/>
  <c r="D129" i="74"/>
  <c r="D32" i="74"/>
  <c r="D60" i="74" s="1"/>
  <c r="D84" i="74" l="1"/>
  <c r="D120" i="74"/>
  <c r="D65" i="74"/>
  <c r="D95" i="74"/>
  <c r="D108" i="74"/>
  <c r="D131" i="74"/>
  <c r="D130" i="74"/>
  <c r="D128" i="74"/>
  <c r="D83" i="74"/>
  <c r="D105" i="74"/>
  <c r="D107" i="74"/>
  <c r="D118" i="74" l="1"/>
  <c r="D82" i="74"/>
  <c r="D85" i="74"/>
  <c r="D132" i="74"/>
  <c r="D109" i="74"/>
  <c r="D97" i="74"/>
  <c r="D98" i="74"/>
  <c r="D121" i="74"/>
  <c r="D119" i="74"/>
  <c r="D63" i="74"/>
  <c r="D62" i="74"/>
  <c r="D96" i="74"/>
  <c r="D64" i="74"/>
  <c r="D86" i="74" l="1"/>
  <c r="C51" i="74" s="1"/>
  <c r="D36" i="94" s="1"/>
  <c r="D122" i="74"/>
  <c r="D99" i="74"/>
  <c r="D110" i="74" s="1"/>
  <c r="E110" i="74" s="1"/>
  <c r="D66" i="74"/>
  <c r="D87" i="74" l="1"/>
  <c r="E87" i="74" s="1"/>
  <c r="D133" i="74"/>
  <c r="C49" i="74"/>
  <c r="D34" i="94" s="1"/>
  <c r="E133" i="74" l="1"/>
  <c r="C52" i="74"/>
  <c r="C54" i="74" s="1"/>
  <c r="D54" i="74" s="1"/>
  <c r="E34" i="94"/>
  <c r="D37" i="94" l="1"/>
  <c r="E36" i="94" s="1"/>
</calcChain>
</file>

<file path=xl/sharedStrings.xml><?xml version="1.0" encoding="utf-8"?>
<sst xmlns="http://schemas.openxmlformats.org/spreadsheetml/2006/main" count="2230" uniqueCount="580">
  <si>
    <t>3. Does not address potential cumulative effects posed by multiple contaminants (evaluate separately).</t>
  </si>
  <si>
    <t>*Target Risk - Unrestricted/Residential</t>
  </si>
  <si>
    <t>*Target Risk - Commercial/Industrial Only</t>
  </si>
  <si>
    <t>Tier 1 Default Target Risks</t>
  </si>
  <si>
    <t>Final Tier 2 Direct-Exposure Action Level:</t>
  </si>
  <si>
    <t>Selected Site Exposure Scenario:</t>
  </si>
  <si>
    <t>2,4,5</t>
  </si>
  <si>
    <t>2,3,4,5,6</t>
  </si>
  <si>
    <t>(Steps 1 through 3 - Use pull-down boxes to select options.)</t>
  </si>
  <si>
    <t>Step 1.  Select Contaminant:</t>
  </si>
  <si>
    <t>Step 2.  Select Exposure Scenario:</t>
  </si>
  <si>
    <t>Chemical</t>
  </si>
  <si>
    <t>Step 3.  Input Site Data:</t>
  </si>
  <si>
    <t>*Tier 1 Default</t>
  </si>
  <si>
    <t>Site-Specific</t>
  </si>
  <si>
    <t>Thickness impacted soil (m)</t>
  </si>
  <si>
    <t>infinite</t>
  </si>
  <si>
    <r>
      <t>Soil density (g/cm</t>
    </r>
    <r>
      <rPr>
        <vertAlign val="superscript"/>
        <sz val="10"/>
        <rFont val="Arial"/>
        <family val="2"/>
      </rPr>
      <t>3</t>
    </r>
    <r>
      <rPr>
        <sz val="10"/>
        <rFont val="Arial"/>
        <family val="2"/>
      </rPr>
      <t>)</t>
    </r>
  </si>
  <si>
    <r>
      <t>Particle density (g/cm</t>
    </r>
    <r>
      <rPr>
        <vertAlign val="superscript"/>
        <sz val="10"/>
        <rFont val="Arial"/>
        <family val="2"/>
      </rPr>
      <t>3</t>
    </r>
    <r>
      <rPr>
        <sz val="10"/>
        <rFont val="Arial"/>
        <family val="2"/>
      </rPr>
      <t>)</t>
    </r>
  </si>
  <si>
    <t>Step 4. *Adjust Default Exposure Assumptions (see attached worksheet)</t>
  </si>
  <si>
    <t>*Generally not recommended in a Tier 2 assessment.  Includes Tier 1 chemical toxicity factors.</t>
  </si>
  <si>
    <t>Cancer Concerns:</t>
  </si>
  <si>
    <t>Noncancer Concerns:</t>
  </si>
  <si>
    <t>PROJECT NAME:</t>
  </si>
  <si>
    <t>Site ID No.:</t>
  </si>
  <si>
    <t>SPREADSHEET PREPARED BY:</t>
  </si>
  <si>
    <t>DATE:</t>
  </si>
  <si>
    <t>SIGNATURE:</t>
  </si>
  <si>
    <t>COMPANY:</t>
  </si>
  <si>
    <t>SUPPORTING SITE INVESTIGATION REPORT(S) (Note report title, date, and preparer's name and address):</t>
  </si>
  <si>
    <r>
      <t xml:space="preserve">USEPA, 2002, </t>
    </r>
    <r>
      <rPr>
        <i/>
        <sz val="10"/>
        <rFont val="Arial"/>
        <family val="2"/>
      </rPr>
      <t>Supplemental Guidance for Developing Soil Screening Levels for Superfund Sites</t>
    </r>
    <r>
      <rPr>
        <sz val="10"/>
        <rFont val="Arial"/>
        <family val="2"/>
      </rPr>
      <t>: U.S. Environmental Protection Agency, Solid Waste and Emergency Response, OSWER 9355.4-24, December 2002, http://www.epa.gov/superfund/resources/soil/ssg_main.pdf</t>
    </r>
  </si>
  <si>
    <t>Tier 2 Values</t>
  </si>
  <si>
    <t>Tier 1 Default Values</t>
  </si>
  <si>
    <t>*Default site parameter values from USEPA RSLs (USEPA 2008).</t>
  </si>
  <si>
    <t>1Human Receptor Parameters</t>
  </si>
  <si>
    <r>
      <t>2</t>
    </r>
    <r>
      <rPr>
        <sz val="8"/>
        <rFont val="Arial"/>
        <family val="2"/>
      </rPr>
      <t>Soil ingestion rate - construction/trench worker</t>
    </r>
  </si>
  <si>
    <r>
      <t>2</t>
    </r>
    <r>
      <rPr>
        <sz val="8"/>
        <rFont val="Arial"/>
        <family val="2"/>
      </rPr>
      <t>Exposure frequency - construction/trench worker</t>
    </r>
  </si>
  <si>
    <r>
      <t>2</t>
    </r>
    <r>
      <rPr>
        <sz val="8"/>
        <rFont val="Arial"/>
        <family val="2"/>
      </rPr>
      <t>Exposure duration - construction/trench worker</t>
    </r>
  </si>
  <si>
    <r>
      <t>2</t>
    </r>
    <r>
      <rPr>
        <sz val="8"/>
        <rFont val="Arial"/>
        <family val="2"/>
      </rPr>
      <t>Adherence factor - construction/trench worker</t>
    </r>
  </si>
  <si>
    <r>
      <t>2</t>
    </r>
    <r>
      <rPr>
        <b/>
        <sz val="8"/>
        <rFont val="Arial"/>
        <family val="2"/>
      </rPr>
      <t>CALCULATIONS</t>
    </r>
  </si>
  <si>
    <t xml:space="preserve">7. USEPA National Primary Drinking Water Standards (March 2001): U.S. Environmental Protection Agency, Office of Water, EPA 816-F-01-007, http://www.epa.gov/safewater/consumer/pdf/mcl.pdf  (selectively used) </t>
  </si>
  <si>
    <t>For additional online references, see also: Hazardous Substances (On-line) Database: U.S. National Library of Medicine, Toxicology Data Network, http://toxnet.nlm.nih.gov.</t>
  </si>
  <si>
    <t>d. Includes skin sensitization but not general dermatitis or defatting of skin.</t>
  </si>
  <si>
    <t>and World Health Organization (accessed December 2007); published through US Department of Health and Human Services, Centers for Disease Control and Prevention,</t>
  </si>
  <si>
    <t>Commercial/Industrial</t>
  </si>
  <si>
    <t>25% surface area - construction/trench worker</t>
  </si>
  <si>
    <t>SAc/t</t>
  </si>
  <si>
    <t>Adherence factor - adult resident</t>
  </si>
  <si>
    <t>AFa</t>
  </si>
  <si>
    <t>Adherence factor - child resident</t>
  </si>
  <si>
    <t>AFc</t>
  </si>
  <si>
    <t>DIBROMO-3-CHLOROPROPANE, 1,2-</t>
  </si>
  <si>
    <t>Soil ingestion rate - children</t>
  </si>
  <si>
    <t>IRSc</t>
  </si>
  <si>
    <t>Soil ingestion rate - occupational worker</t>
  </si>
  <si>
    <t>IRSo</t>
  </si>
  <si>
    <t>IRSc/t</t>
  </si>
  <si>
    <t>Exposure frequency - occupational worker</t>
  </si>
  <si>
    <t>EFo</t>
  </si>
  <si>
    <t>EFc/t</t>
  </si>
  <si>
    <t>Exposure duration - occupational worker</t>
  </si>
  <si>
    <t>mg/kg</t>
  </si>
  <si>
    <t>Ingestion exposure factor</t>
  </si>
  <si>
    <t>IFS</t>
  </si>
  <si>
    <t>mg-yr/kg-d</t>
  </si>
  <si>
    <t>Skin contact exposure factor</t>
  </si>
  <si>
    <t>SFS</t>
  </si>
  <si>
    <t>Soils - General</t>
  </si>
  <si>
    <t>Soil porosity</t>
  </si>
  <si>
    <t>Pt</t>
  </si>
  <si>
    <t>Soil air-filled porosity</t>
  </si>
  <si>
    <t>Pa</t>
  </si>
  <si>
    <t>Soil water-filled porosity</t>
  </si>
  <si>
    <t>Pw</t>
  </si>
  <si>
    <t>Infinite-source Volatilization Factor</t>
  </si>
  <si>
    <r>
      <t>cm</t>
    </r>
    <r>
      <rPr>
        <vertAlign val="superscript"/>
        <sz val="8"/>
        <rFont val="Arial"/>
        <family val="2"/>
      </rPr>
      <t>2</t>
    </r>
  </si>
  <si>
    <r>
      <t>mg/cm</t>
    </r>
    <r>
      <rPr>
        <vertAlign val="superscript"/>
        <sz val="8"/>
        <rFont val="Arial"/>
        <family val="2"/>
      </rPr>
      <t>2</t>
    </r>
  </si>
  <si>
    <r>
      <t>L</t>
    </r>
    <r>
      <rPr>
        <vertAlign val="subscript"/>
        <sz val="8"/>
        <rFont val="Arial"/>
        <family val="2"/>
      </rPr>
      <t>air</t>
    </r>
    <r>
      <rPr>
        <sz val="8"/>
        <rFont val="Arial"/>
        <family val="2"/>
      </rPr>
      <t>/L</t>
    </r>
    <r>
      <rPr>
        <vertAlign val="subscript"/>
        <sz val="8"/>
        <rFont val="Arial"/>
        <family val="2"/>
      </rPr>
      <t>soil</t>
    </r>
  </si>
  <si>
    <r>
      <t>L</t>
    </r>
    <r>
      <rPr>
        <vertAlign val="subscript"/>
        <sz val="8"/>
        <rFont val="Arial"/>
        <family val="2"/>
      </rPr>
      <t>water</t>
    </r>
    <r>
      <rPr>
        <sz val="8"/>
        <rFont val="Arial"/>
        <family val="2"/>
      </rPr>
      <t>/L</t>
    </r>
    <r>
      <rPr>
        <vertAlign val="subscript"/>
        <sz val="8"/>
        <rFont val="Arial"/>
        <family val="2"/>
      </rPr>
      <t>soil</t>
    </r>
  </si>
  <si>
    <r>
      <t>m</t>
    </r>
    <r>
      <rPr>
        <vertAlign val="superscript"/>
        <sz val="8"/>
        <rFont val="Arial"/>
        <family val="2"/>
      </rPr>
      <t>3</t>
    </r>
    <r>
      <rPr>
        <sz val="8"/>
        <rFont val="Arial"/>
        <family val="2"/>
      </rPr>
      <t>/kg</t>
    </r>
  </si>
  <si>
    <t>DIOXINS (TEQ)</t>
  </si>
  <si>
    <t>chemical specific</t>
  </si>
  <si>
    <t>(Inhalation)</t>
  </si>
  <si>
    <t>IUR</t>
  </si>
  <si>
    <t>AMETRYN</t>
  </si>
  <si>
    <t>AMINO,2- DINITROTOLUENE,4,6-</t>
  </si>
  <si>
    <t>Thallium toxicity factors based on soluble salts.</t>
  </si>
  <si>
    <t>Dermal</t>
  </si>
  <si>
    <t>Ingestion</t>
  </si>
  <si>
    <t>Carcinogenic Effects</t>
  </si>
  <si>
    <t>Noncarcinogenic Effects</t>
  </si>
  <si>
    <t>BERYLLIUM</t>
  </si>
  <si>
    <t>BIS(2-CHLOROETHYL)ETHER</t>
  </si>
  <si>
    <t>BIS(2-CHLOROISOPROPYL)ETHER</t>
  </si>
  <si>
    <t>BIS(2-ETHYLHEXYL)PHTHALATE</t>
  </si>
  <si>
    <t>BORON</t>
  </si>
  <si>
    <t>BROMODICHLOROMETHANE</t>
  </si>
  <si>
    <t>BROMOFORM</t>
  </si>
  <si>
    <t>BROMOMETHANE</t>
  </si>
  <si>
    <t>CADMIUM</t>
  </si>
  <si>
    <t>CARBON TETRACHLORIDE</t>
  </si>
  <si>
    <t>CHLOROANILINE, p-</t>
  </si>
  <si>
    <t>CHLOROBENZENE</t>
  </si>
  <si>
    <t>CHLOROFORM</t>
  </si>
  <si>
    <t>CHLOROPHENOL, 2-</t>
  </si>
  <si>
    <t>CHRYSENE</t>
  </si>
  <si>
    <t>COBALT</t>
  </si>
  <si>
    <t>COPPER</t>
  </si>
  <si>
    <t>CYANIDE (Free)</t>
  </si>
  <si>
    <t>DIBENZO(a,h)ANTHTRACENE</t>
  </si>
  <si>
    <t>DIBROMOCHLOROMETHANE</t>
  </si>
  <si>
    <t>DICHLOROBENZENE, 1,2-</t>
  </si>
  <si>
    <t>M</t>
  </si>
  <si>
    <t>NICKEL</t>
  </si>
  <si>
    <t>SILVER</t>
  </si>
  <si>
    <t>TRICHLOROBENZENE, 1,2,4-</t>
  </si>
  <si>
    <t>TRICHLOROETHANE, 1,1,1-</t>
  </si>
  <si>
    <t>DIBROMOETHANE, 1,2-</t>
  </si>
  <si>
    <t>Notes:</t>
  </si>
  <si>
    <t>DICHLORODIPHENYLDICHLOROETHANE (DDD)</t>
  </si>
  <si>
    <t>DICHLORODIPHENYLDICHLOROETHYLENE (DDE)</t>
  </si>
  <si>
    <t>DICHLORODIPHENYLTRICHLOROETHANE (DDT)</t>
  </si>
  <si>
    <t>HEXACHLOROCYCLOHEXANE (gamma) LINDANE</t>
  </si>
  <si>
    <t>POLYCHLORINATED BIPHENYLS (PCBs)</t>
  </si>
  <si>
    <t>TOLUENE</t>
  </si>
  <si>
    <t>-</t>
  </si>
  <si>
    <t>ENDOSULFAN</t>
  </si>
  <si>
    <t>HEXACHLOROBENZENE</t>
  </si>
  <si>
    <t>DICHLOROBENZENE, 1,3-</t>
  </si>
  <si>
    <t>DICHLOROBENZENE, 1,4-</t>
  </si>
  <si>
    <t>DICHLOROBENZIDINE, 3,3-</t>
  </si>
  <si>
    <t>DICHLOROETHYLENE, Trans 1,2-</t>
  </si>
  <si>
    <t>PERCHLORATE</t>
  </si>
  <si>
    <t>CHEMICAL PARAMETER</t>
  </si>
  <si>
    <t>BIPHENYL, 1,1-</t>
  </si>
  <si>
    <t>DICHLOROETHANE, 1,1-</t>
  </si>
  <si>
    <t>DICHLOROETHANE, 1,2-</t>
  </si>
  <si>
    <t>Unit Risk</t>
  </si>
  <si>
    <t>Concentration</t>
  </si>
  <si>
    <t>RfC</t>
  </si>
  <si>
    <t>= Fluoranthene</t>
  </si>
  <si>
    <t>= Fluorene</t>
  </si>
  <si>
    <t>Reference</t>
  </si>
  <si>
    <t>(mg/kg)</t>
  </si>
  <si>
    <t>Organic</t>
  </si>
  <si>
    <t>Pure</t>
  </si>
  <si>
    <t>Cancer</t>
  </si>
  <si>
    <t>carbon</t>
  </si>
  <si>
    <t>component</t>
  </si>
  <si>
    <t>ENDRIN</t>
  </si>
  <si>
    <t>ETHYLBENZENE</t>
  </si>
  <si>
    <t>FLUORANTHENE</t>
  </si>
  <si>
    <t>FLUORENE</t>
  </si>
  <si>
    <t>HEPTACHLOR</t>
  </si>
  <si>
    <t>HEPTACHLOR EPOXIDE</t>
  </si>
  <si>
    <t>HEXACHLOROBUTADIENE</t>
  </si>
  <si>
    <t>HEXACHLOROETHANE</t>
  </si>
  <si>
    <t>INDENO(1,2,3-cd)PYRENE</t>
  </si>
  <si>
    <t>LEAD</t>
  </si>
  <si>
    <t>MERCURY</t>
  </si>
  <si>
    <t>METHOXYCHLOR</t>
  </si>
  <si>
    <t>METHYLENE CHLORIDE</t>
  </si>
  <si>
    <t>METHYL ETHYL KETONE</t>
  </si>
  <si>
    <t>METHYL ISOBUTYL KETONE</t>
  </si>
  <si>
    <t>METHYL MERCURY</t>
  </si>
  <si>
    <t>METHYL TERT BUTYL ETHER</t>
  </si>
  <si>
    <t xml:space="preserve">Reference: </t>
  </si>
  <si>
    <t>Exposure duration (16-70yrs) - Vinyl Chloride</t>
  </si>
  <si>
    <t>Selenosis (3,5)</t>
  </si>
  <si>
    <t>2,5,6</t>
  </si>
  <si>
    <t>1,3,4,5</t>
  </si>
  <si>
    <t>1. CalEPA, 2005, Consolidated Table of Chronic Reference Exposure Levels: California Environmental Protection Agency, Office of Environmental Health Hazard Assessment/Air Resources Board, April 2005,</t>
  </si>
  <si>
    <t>http://www.arb.ca.gov/toxics/healthval/healthval.htm</t>
  </si>
  <si>
    <t>2. CDC, 2007, International Chemical Safety Cards: International Programme on Chemical Safety: United Nations Environment Program, International Labour Office</t>
  </si>
  <si>
    <t>Notes on Individual Chemicals</t>
  </si>
  <si>
    <t>1,2,3</t>
  </si>
  <si>
    <t>4,5,7</t>
  </si>
  <si>
    <t>4,5,6</t>
  </si>
  <si>
    <r>
      <t>m</t>
    </r>
    <r>
      <rPr>
        <vertAlign val="superscript"/>
        <sz val="8"/>
        <rFont val="Arial"/>
        <family val="2"/>
      </rPr>
      <t>3</t>
    </r>
    <r>
      <rPr>
        <sz val="8"/>
        <rFont val="Arial"/>
        <family val="2"/>
      </rPr>
      <t>/d</t>
    </r>
  </si>
  <si>
    <t>GIABS</t>
  </si>
  <si>
    <t>GI</t>
  </si>
  <si>
    <t>Xylenes physio-chemical and toxicity constants based on m-xylene.</t>
  </si>
  <si>
    <t>TPH (middle distillates)</t>
  </si>
  <si>
    <t>TPH (gasolines)</t>
  </si>
  <si>
    <t>REFERENCES:</t>
  </si>
  <si>
    <t>Exposure frequency - residents</t>
  </si>
  <si>
    <t>EFr</t>
  </si>
  <si>
    <t>d/y</t>
  </si>
  <si>
    <t>Exposure duration - residents total</t>
  </si>
  <si>
    <t>EDr</t>
  </si>
  <si>
    <t>yrs</t>
  </si>
  <si>
    <t>Exposure duration - children</t>
  </si>
  <si>
    <t>EDc</t>
  </si>
  <si>
    <t>Body weight - adult</t>
  </si>
  <si>
    <t>BWa</t>
  </si>
  <si>
    <t>kg</t>
  </si>
  <si>
    <t>Body weight - child</t>
  </si>
  <si>
    <t>BWc</t>
  </si>
  <si>
    <t>Averaging time (years)</t>
  </si>
  <si>
    <t>AT</t>
  </si>
  <si>
    <t>Days/year conversion</t>
  </si>
  <si>
    <t>d/yr</t>
  </si>
  <si>
    <t>TR</t>
  </si>
  <si>
    <t>Target Hazard Quotient</t>
  </si>
  <si>
    <t>THQ</t>
  </si>
  <si>
    <t>DIBROMO,1,2- CHLOROPROPANE,3-</t>
  </si>
  <si>
    <t>DIOXANE, 1,4-</t>
  </si>
  <si>
    <t>Exposure Time - Resident</t>
  </si>
  <si>
    <t>Exposure Time - Workers</t>
  </si>
  <si>
    <r>
      <t>ET</t>
    </r>
    <r>
      <rPr>
        <vertAlign val="subscript"/>
        <sz val="8"/>
        <rFont val="Arial"/>
        <family val="2"/>
      </rPr>
      <t>w</t>
    </r>
  </si>
  <si>
    <r>
      <t>ET</t>
    </r>
    <r>
      <rPr>
        <vertAlign val="subscript"/>
        <sz val="8"/>
        <rFont val="Arial"/>
        <family val="2"/>
      </rPr>
      <t>r</t>
    </r>
  </si>
  <si>
    <t>hrs/day</t>
  </si>
  <si>
    <t>RESIDENTIAL</t>
  </si>
  <si>
    <t>COMMERCIAL/INDUSTRIAL</t>
  </si>
  <si>
    <t>Decreased body weight</t>
  </si>
  <si>
    <t>4,5</t>
  </si>
  <si>
    <t>2,6</t>
  </si>
  <si>
    <t>2,3</t>
  </si>
  <si>
    <t>No data, TNT data shown</t>
  </si>
  <si>
    <t>2,3,5</t>
  </si>
  <si>
    <t>1,2,3,5</t>
  </si>
  <si>
    <t>3,4,5</t>
  </si>
  <si>
    <t>1,5</t>
  </si>
  <si>
    <t>?</t>
  </si>
  <si>
    <t>6,7</t>
  </si>
  <si>
    <t>1,2,4,5</t>
  </si>
  <si>
    <t>2,3,4,5</t>
  </si>
  <si>
    <t>bone loss (1,3)</t>
  </si>
  <si>
    <t>1,3,5</t>
  </si>
  <si>
    <t>2,4</t>
  </si>
  <si>
    <t>2,5</t>
  </si>
  <si>
    <t>1,4,5</t>
  </si>
  <si>
    <t>hearing (2)</t>
  </si>
  <si>
    <t>2,5,7</t>
  </si>
  <si>
    <t>1,2,5</t>
  </si>
  <si>
    <t>1,</t>
  </si>
  <si>
    <t>2,3,4,6</t>
  </si>
  <si>
    <t>Information not available</t>
  </si>
  <si>
    <t>2,3,5,6</t>
  </si>
  <si>
    <t>2,3,6</t>
  </si>
  <si>
    <t>B1?</t>
  </si>
  <si>
    <t>bones (3)</t>
  </si>
  <si>
    <t>Soil ingestion rate - adult residents</t>
  </si>
  <si>
    <t>IRSa</t>
  </si>
  <si>
    <t>mg/d</t>
  </si>
  <si>
    <t>Mutagenic Effects</t>
  </si>
  <si>
    <t>Ingestion exposure factor (mutagenic)</t>
  </si>
  <si>
    <t>Skin contact exposure factor (mutagenic)</t>
  </si>
  <si>
    <t>IFSM</t>
  </si>
  <si>
    <t>SFSM</t>
  </si>
  <si>
    <t>Exposure duration (16-30yrs)</t>
  </si>
  <si>
    <t>Exposure duration (0-2yrs)</t>
  </si>
  <si>
    <t>Exposure duration (2-6yrs)</t>
  </si>
  <si>
    <t>Exposure duration (6-16yrs)</t>
  </si>
  <si>
    <r>
      <t>b</t>
    </r>
    <r>
      <rPr>
        <b/>
        <sz val="8"/>
        <rFont val="Arial"/>
        <family val="2"/>
      </rPr>
      <t>Mutagen</t>
    </r>
  </si>
  <si>
    <r>
      <t>c</t>
    </r>
    <r>
      <rPr>
        <b/>
        <sz val="8"/>
        <rFont val="Arial"/>
        <family val="2"/>
      </rPr>
      <t>Alimentary Tract</t>
    </r>
  </si>
  <si>
    <r>
      <t>d</t>
    </r>
    <r>
      <rPr>
        <b/>
        <sz val="8"/>
        <rFont val="Arial"/>
        <family val="2"/>
      </rPr>
      <t>Skin</t>
    </r>
  </si>
  <si>
    <t>c. Includes gastro-intestinal tract, liver, spleen, gall bladder, etc.</t>
  </si>
  <si>
    <t>of all potentially significant health effects),  http://www.epa.gov/iris/subst/index.html</t>
  </si>
  <si>
    <t>Effect used for derivation of RfDs, http://risk.lsd.ornl.gov/tox/rap_toxp.shtml</t>
  </si>
  <si>
    <t>CHROMIUM (Total)</t>
  </si>
  <si>
    <t>Construction/trench Worker</t>
  </si>
  <si>
    <t>CHLORDANE (TECHNICAL)</t>
  </si>
  <si>
    <t>Skin</t>
  </si>
  <si>
    <t>Slope</t>
  </si>
  <si>
    <t>partition</t>
  </si>
  <si>
    <t>Diffusivity</t>
  </si>
  <si>
    <t>water</t>
  </si>
  <si>
    <t>Henry's</t>
  </si>
  <si>
    <t>Absorption</t>
  </si>
  <si>
    <t>Factor</t>
  </si>
  <si>
    <t>Dose</t>
  </si>
  <si>
    <t>coefficient,</t>
  </si>
  <si>
    <t>in air,</t>
  </si>
  <si>
    <t>in water,</t>
  </si>
  <si>
    <t>solubility,</t>
  </si>
  <si>
    <t>Law constant</t>
  </si>
  <si>
    <t>Oral</t>
  </si>
  <si>
    <t>Physical</t>
  </si>
  <si>
    <t>Molecular</t>
  </si>
  <si>
    <r>
      <t>K</t>
    </r>
    <r>
      <rPr>
        <b/>
        <vertAlign val="subscript"/>
        <sz val="8"/>
        <rFont val="Arial"/>
        <family val="2"/>
      </rPr>
      <t>oc</t>
    </r>
  </si>
  <si>
    <r>
      <t>D</t>
    </r>
    <r>
      <rPr>
        <b/>
        <vertAlign val="subscript"/>
        <sz val="8"/>
        <rFont val="Arial"/>
        <family val="2"/>
      </rPr>
      <t>a</t>
    </r>
  </si>
  <si>
    <r>
      <t>D</t>
    </r>
    <r>
      <rPr>
        <b/>
        <vertAlign val="subscript"/>
        <sz val="8"/>
        <rFont val="Arial"/>
        <family val="2"/>
      </rPr>
      <t>w</t>
    </r>
  </si>
  <si>
    <t>S</t>
  </si>
  <si>
    <t>H</t>
  </si>
  <si>
    <t>H'</t>
  </si>
  <si>
    <t>ABS</t>
  </si>
  <si>
    <t>CSFo</t>
  </si>
  <si>
    <t>RfDo</t>
  </si>
  <si>
    <t>State</t>
  </si>
  <si>
    <t>Weight</t>
  </si>
  <si>
    <r>
      <t>(cm</t>
    </r>
    <r>
      <rPr>
        <b/>
        <vertAlign val="superscript"/>
        <sz val="8"/>
        <rFont val="Arial"/>
        <family val="2"/>
      </rPr>
      <t>3</t>
    </r>
    <r>
      <rPr>
        <b/>
        <sz val="8"/>
        <rFont val="Arial"/>
        <family val="2"/>
      </rPr>
      <t>/g)</t>
    </r>
  </si>
  <si>
    <r>
      <t>(cm</t>
    </r>
    <r>
      <rPr>
        <b/>
        <vertAlign val="superscript"/>
        <sz val="8"/>
        <rFont val="Arial"/>
        <family val="2"/>
      </rPr>
      <t>2</t>
    </r>
    <r>
      <rPr>
        <b/>
        <sz val="8"/>
        <rFont val="Arial"/>
        <family val="2"/>
      </rPr>
      <t>/s)</t>
    </r>
  </si>
  <si>
    <t>(mg/L)</t>
  </si>
  <si>
    <r>
      <t>(atm-m</t>
    </r>
    <r>
      <rPr>
        <b/>
        <vertAlign val="superscript"/>
        <sz val="8"/>
        <rFont val="Arial"/>
        <family val="2"/>
      </rPr>
      <t>3</t>
    </r>
    <r>
      <rPr>
        <b/>
        <sz val="8"/>
        <rFont val="Arial"/>
        <family val="2"/>
      </rPr>
      <t>/mol)</t>
    </r>
  </si>
  <si>
    <t>(unitless)</t>
  </si>
  <si>
    <t>(mg/kg-d)</t>
  </si>
  <si>
    <t>L</t>
  </si>
  <si>
    <t>NV</t>
  </si>
  <si>
    <t>Modeled</t>
  </si>
  <si>
    <t>TRINITROBENZENE, 1,3,5-</t>
  </si>
  <si>
    <t>DICHLOROPHENOL, 2,4-</t>
  </si>
  <si>
    <t>DICHLOROPROPANE, 1,2-</t>
  </si>
  <si>
    <t>DIELDRIN</t>
  </si>
  <si>
    <t>DIETHYLPHTHALATE</t>
  </si>
  <si>
    <t>DIMETHYLPHTHALATE</t>
  </si>
  <si>
    <t>DIMETHYLPHENOL, 2,4-</t>
  </si>
  <si>
    <t>ETHANOL</t>
  </si>
  <si>
    <t>Other</t>
  </si>
  <si>
    <t>Other variables (fixed)</t>
  </si>
  <si>
    <t>VARIOUS CALCULATIONS</t>
  </si>
  <si>
    <t>NOTES:</t>
  </si>
  <si>
    <t>http://www.cdc.gov/niosh/ipcs/icstart.html</t>
  </si>
  <si>
    <t>3. ATSDR, 2007, ToxFAQs™: Agency for Toxic Substances and Disease Registry (accessed December 2007), http://www.atsdr.cdc.gov/toxfaq.html</t>
  </si>
  <si>
    <t>4. Illinois, 2001, Tiered Approach to Corrective Action Objectives (TACO): Illinois Environmental Protection Agency, Title 35, Subtitle G, Chapter I, Subchapter f, Part 742, Appendix A, Table E, Similar-Acting Noncarcinogenic Chemicals (accessed December 2007), http://www.ipcb.state.il.us/SLR/IPCBandIEPAEnvironmentalRegulations-Title35.asp</t>
  </si>
  <si>
    <t>5. USEPA, 2007, IRIS: U.S. Environmental Protection Agency, IRIS Database (accessed December 2007); (Critical effect used for derivation of USEPA RfD as presented in IRIS database; may not be inclusive</t>
  </si>
  <si>
    <t>6. ORNL, 2007, Risk Assessment Information System (RAIS), Toxicity Profiles: Oak Ridge National Laboratory/U.S. Department of Energy (accessed December 2007), RAGs A Format, especially Critical</t>
  </si>
  <si>
    <t>8. TPH whole product toxicity based review of TPH Working Group petroleum carbon fraction guidance (TPHWG 1998, Volume 4) and Massachusetts DEP VPH/EPH guidance (MADEP 2002a).</t>
  </si>
  <si>
    <t>DICHLOROETHYLENE, 1,1-</t>
  </si>
  <si>
    <t>DICHLOROETHYLENE, Cis 1,2-</t>
  </si>
  <si>
    <t>DICHLOROPROPENE, 1,3-</t>
  </si>
  <si>
    <t>DINITROPHENOL, 2,4-</t>
  </si>
  <si>
    <t>DIOXIN (2,3,7,8-TCDD)</t>
  </si>
  <si>
    <t>No chronic toxicity factors.</t>
  </si>
  <si>
    <t>1,6</t>
  </si>
  <si>
    <t>TPH (residual fuels)</t>
  </si>
  <si>
    <t>CHROMIUM III</t>
  </si>
  <si>
    <t>CHROMIUM VI</t>
  </si>
  <si>
    <t>CHLOROETHANE</t>
  </si>
  <si>
    <t>CHLOROMETHANE</t>
  </si>
  <si>
    <t>D</t>
  </si>
  <si>
    <t>B2</t>
  </si>
  <si>
    <t>A</t>
  </si>
  <si>
    <t>Target Excess Cancer Risk
(Res &amp; C/I)</t>
  </si>
  <si>
    <t>Target Excess Cancer Risk
(Const. Worker)</t>
  </si>
  <si>
    <t>Adherence factor - adult occupational worker</t>
  </si>
  <si>
    <t>AFc/t</t>
  </si>
  <si>
    <t>Skin absorption factor</t>
  </si>
  <si>
    <t>unitless</t>
  </si>
  <si>
    <t>Inhalation Rate - adult residents/workers</t>
  </si>
  <si>
    <t>IRAa</t>
  </si>
  <si>
    <t>Nickel toxicity factors based on soluble salts.</t>
  </si>
  <si>
    <t>B1</t>
  </si>
  <si>
    <t>B</t>
  </si>
  <si>
    <t>C</t>
  </si>
  <si>
    <t>E</t>
  </si>
  <si>
    <t>tert-BUTYL ALCOHOL</t>
  </si>
  <si>
    <t>TOXAPHENE</t>
  </si>
  <si>
    <t>G</t>
  </si>
  <si>
    <t xml:space="preserve">a. Carcinogen type from RWQCBCV 2007; ORNL 2001 (see classification below). </t>
  </si>
  <si>
    <t>Target Organs And Health Effects</t>
  </si>
  <si>
    <t>Inhalation Rate - children</t>
  </si>
  <si>
    <t>IRAc</t>
  </si>
  <si>
    <t>4,6</t>
  </si>
  <si>
    <t>3,5,6</t>
  </si>
  <si>
    <t>1,2,3,4,5,6</t>
  </si>
  <si>
    <t>B1/D</t>
  </si>
  <si>
    <t>3,5</t>
  </si>
  <si>
    <t>3,6</t>
  </si>
  <si>
    <t>1,2,3,4,5</t>
  </si>
  <si>
    <t>C/D</t>
  </si>
  <si>
    <t>A/D</t>
  </si>
  <si>
    <t>1,3</t>
  </si>
  <si>
    <t>AMINO,4- DINITROTOLUENE,2,6-</t>
  </si>
  <si>
    <t>ATRAZINE</t>
  </si>
  <si>
    <t>CYCLO-1,3,5-TRIMETHYLENE-2,4,6-TRINITRAMINE (RDX)</t>
  </si>
  <si>
    <t>DALAPON</t>
  </si>
  <si>
    <t>DICHLOROPHENOXYACETIC ACID (2,4-D)</t>
  </si>
  <si>
    <t>DINITROBENZENE, 1,3-</t>
  </si>
  <si>
    <t>DINITROTOLUENE, 2,4- (2,4-DNT)</t>
  </si>
  <si>
    <t>DINITROTOLUENE, 2,6- (2,6-DNT)</t>
  </si>
  <si>
    <t>DIURON</t>
  </si>
  <si>
    <t>GLYPHOSATE</t>
  </si>
  <si>
    <t>HEXAZINONE</t>
  </si>
  <si>
    <t>ISOPHORONE</t>
  </si>
  <si>
    <t>NITROBENZENE</t>
  </si>
  <si>
    <t>NITROGLYCERIN</t>
  </si>
  <si>
    <t>NITROTOLUENE, 2-</t>
  </si>
  <si>
    <t>NITROTOLUENE, 3-</t>
  </si>
  <si>
    <t>NITROTOLUENE, 4-</t>
  </si>
  <si>
    <t>PENTAERYTHRITOLTETRANITRATE (PETN)</t>
  </si>
  <si>
    <t>PROPICONAZOLE</t>
  </si>
  <si>
    <t>SIMAZINE</t>
  </si>
  <si>
    <t>TERBACIL</t>
  </si>
  <si>
    <t>TETRACHLOROPHENOL, 2,3,4,6-</t>
  </si>
  <si>
    <t>TETRANITRO-1,3,5,7-TETRAAZOCYCLOOCTANE (HMX)</t>
  </si>
  <si>
    <t>TRICHLOROPHENOXYACETIC ACID, 2,4,5- (2,4,5-T)</t>
  </si>
  <si>
    <t>TRICHLOROPHENOXYPROPIONIC ACID, 2,4,5- (2,4,5-TP)</t>
  </si>
  <si>
    <t>TRICHLOROPROPANE, 1,2,3-</t>
  </si>
  <si>
    <t>TRICHLOROPROPENE, 1,2,3-</t>
  </si>
  <si>
    <t>TRIFLURALIN</t>
  </si>
  <si>
    <t>TRINITROPHENYLMETHYLNITRAMINE, 2,4,6- (TETRYL)</t>
  </si>
  <si>
    <t>TRINITROTOLUENE, 1,3,5-</t>
  </si>
  <si>
    <t>TRINITROTOLUENE, 2,4,6- (TNT)</t>
  </si>
  <si>
    <t>Particulate Emission Factor</t>
  </si>
  <si>
    <t>ACENAPHTHENE</t>
  </si>
  <si>
    <t>ACENAPHTHYLENE</t>
  </si>
  <si>
    <t>ACETONE</t>
  </si>
  <si>
    <t>ALDRIN</t>
  </si>
  <si>
    <t>ANTHRACENE</t>
  </si>
  <si>
    <t>ANTIMONY</t>
  </si>
  <si>
    <t>ARSENIC</t>
  </si>
  <si>
    <t>BARIUM</t>
  </si>
  <si>
    <t>BENZENE</t>
  </si>
  <si>
    <t>BENZO(a)ANTHRACENE</t>
  </si>
  <si>
    <t>BENZO(a)PYRENE</t>
  </si>
  <si>
    <t>BENZO(b)FLUORANTHENE</t>
  </si>
  <si>
    <t>BENZO(g,h,i)PERYLENE</t>
  </si>
  <si>
    <t>BENZO(k)FLUORANTHENE</t>
  </si>
  <si>
    <t>References:</t>
  </si>
  <si>
    <t>1/Ingestion</t>
  </si>
  <si>
    <t>1/Dermal</t>
  </si>
  <si>
    <r>
      <t>a</t>
    </r>
    <r>
      <rPr>
        <b/>
        <sz val="8"/>
        <rFont val="Arial"/>
        <family val="2"/>
      </rPr>
      <t>Carcinogen</t>
    </r>
  </si>
  <si>
    <t>Residential</t>
  </si>
  <si>
    <t>Soil moisture content (ml/g)</t>
  </si>
  <si>
    <t>Fraction organic carbon in soil</t>
  </si>
  <si>
    <t>25% surface area - adult resident</t>
  </si>
  <si>
    <t>SAa</t>
  </si>
  <si>
    <t>25% surface area - child resident</t>
  </si>
  <si>
    <t>SAc</t>
  </si>
  <si>
    <t>25% surface area - adult occupational worker</t>
  </si>
  <si>
    <t>Vanadium toxicity factors based on metallic forms.</t>
  </si>
  <si>
    <t>Zinc toxicity factors based on metallic forms.</t>
  </si>
  <si>
    <t>Carcinogen Classification</t>
  </si>
  <si>
    <t>A: Human carcinogen</t>
  </si>
  <si>
    <t>B: Probable human carcinogen (B1: limited human evidence; B2 Sufficient evidence in animals and inadequate or no evidence in humans)</t>
  </si>
  <si>
    <t>C: Possible human carcinogen</t>
  </si>
  <si>
    <t>D: Not classifiable as to human carcinogenicity</t>
  </si>
  <si>
    <t>E: Evidence of noncarcinogenicity for humans</t>
  </si>
  <si>
    <t>NA: Carcinogen classification information not available</t>
  </si>
  <si>
    <t>Cardiovascular</t>
  </si>
  <si>
    <t>Developmental</t>
  </si>
  <si>
    <t>Endocrine</t>
  </si>
  <si>
    <t>Eye</t>
  </si>
  <si>
    <t>Hematologic</t>
  </si>
  <si>
    <t>Immune</t>
  </si>
  <si>
    <t>Kidney</t>
  </si>
  <si>
    <t>Nervous</t>
  </si>
  <si>
    <t>Reproductive</t>
  </si>
  <si>
    <t>Respiratory</t>
  </si>
  <si>
    <t>5,6</t>
  </si>
  <si>
    <t>5,7</t>
  </si>
  <si>
    <t>3,4,6</t>
  </si>
  <si>
    <t>1,2,3,4</t>
  </si>
  <si>
    <t>1,2</t>
  </si>
  <si>
    <t>MOLYBDENUM</t>
  </si>
  <si>
    <t>NAPHTHALENE</t>
  </si>
  <si>
    <t>PENTACHLOROPHENOL</t>
  </si>
  <si>
    <t>PHENANTHRENE</t>
  </si>
  <si>
    <t>PHENOL</t>
  </si>
  <si>
    <t>PYRENE</t>
  </si>
  <si>
    <t>SELENIUM</t>
  </si>
  <si>
    <t>STYRENE</t>
  </si>
  <si>
    <t>TETRACHLOROETHANE, 1,1,1,2-</t>
  </si>
  <si>
    <t>TETRACHLOROETHANE, 1,1,2,2-</t>
  </si>
  <si>
    <t>TETRACHLOROETHYLENE</t>
  </si>
  <si>
    <t>THALLIUM</t>
  </si>
  <si>
    <t>TRICHLOROETHANE, 1,1,2-</t>
  </si>
  <si>
    <t>TRICHLOROETHYLENE</t>
  </si>
  <si>
    <t>TRICHLOROPHENOL, 2,4,5-</t>
  </si>
  <si>
    <t>TRICHLOROPHENOL, 2,4,6-</t>
  </si>
  <si>
    <t>VANADIUM</t>
  </si>
  <si>
    <t>VINYL CHLORIDE</t>
  </si>
  <si>
    <t>XYLENES</t>
  </si>
  <si>
    <t>ZINC</t>
  </si>
  <si>
    <t>Saturation (Volatile Liquids Only)</t>
  </si>
  <si>
    <t>Air dispersion term (SSGs)</t>
  </si>
  <si>
    <t>Finite-source Volatilization Factor</t>
  </si>
  <si>
    <r>
      <t>g/m</t>
    </r>
    <r>
      <rPr>
        <vertAlign val="superscript"/>
        <sz val="8"/>
        <rFont val="Arial"/>
        <family val="2"/>
      </rPr>
      <t>2</t>
    </r>
    <r>
      <rPr>
        <sz val="8"/>
        <rFont val="Arial"/>
        <family val="2"/>
      </rPr>
      <t>-sec
per kg/m</t>
    </r>
    <r>
      <rPr>
        <vertAlign val="superscript"/>
        <sz val="8"/>
        <rFont val="Arial"/>
        <family val="2"/>
      </rPr>
      <t>3</t>
    </r>
  </si>
  <si>
    <r>
      <t>cm</t>
    </r>
    <r>
      <rPr>
        <vertAlign val="superscript"/>
        <sz val="8"/>
        <rFont val="Arial"/>
        <family val="2"/>
      </rPr>
      <t>3</t>
    </r>
    <r>
      <rPr>
        <sz val="8"/>
        <rFont val="Arial"/>
        <family val="2"/>
      </rPr>
      <t>/g</t>
    </r>
  </si>
  <si>
    <r>
      <t>cm</t>
    </r>
    <r>
      <rPr>
        <vertAlign val="superscript"/>
        <sz val="8"/>
        <rFont val="Arial"/>
        <family val="2"/>
      </rPr>
      <t>2</t>
    </r>
    <r>
      <rPr>
        <sz val="8"/>
        <rFont val="Arial"/>
        <family val="2"/>
      </rPr>
      <t>/sec</t>
    </r>
  </si>
  <si>
    <t>kg/mg</t>
  </si>
  <si>
    <t>Physical State (volatile/nonvolatile)</t>
  </si>
  <si>
    <t>Physical State (solid/liquid/gas)</t>
  </si>
  <si>
    <t>CHEMICAL PARAMETERS</t>
  </si>
  <si>
    <t>Koc</t>
  </si>
  <si>
    <t>Kd</t>
  </si>
  <si>
    <t>CONSTRUCTION/TRENCH WORKERS</t>
  </si>
  <si>
    <r>
      <t>(atm-m</t>
    </r>
    <r>
      <rPr>
        <vertAlign val="superscript"/>
        <sz val="8"/>
        <rFont val="Arial"/>
        <family val="2"/>
      </rPr>
      <t>3</t>
    </r>
    <r>
      <rPr>
        <sz val="8"/>
        <rFont val="Arial"/>
        <family val="2"/>
      </rPr>
      <t>/mol)</t>
    </r>
  </si>
  <si>
    <t>Henry's Constant</t>
  </si>
  <si>
    <t>Molecular Weight (modeled)</t>
  </si>
  <si>
    <t>Diffusivity in Air</t>
  </si>
  <si>
    <t>Diffusivity in Water</t>
  </si>
  <si>
    <t>Solubility in water</t>
  </si>
  <si>
    <t>ug/L</t>
  </si>
  <si>
    <t>CALCULATED PARAMETERS</t>
  </si>
  <si>
    <t>GI Absorption Factor</t>
  </si>
  <si>
    <t>Skin Absorption Factor</t>
  </si>
  <si>
    <t>Cancer Slope Factor (oral)</t>
  </si>
  <si>
    <t>Cancer Unit Risk Factor (inhalation)</t>
  </si>
  <si>
    <r>
      <t>(mg/kg-d)</t>
    </r>
    <r>
      <rPr>
        <vertAlign val="superscript"/>
        <sz val="8"/>
        <rFont val="Arial"/>
        <family val="2"/>
      </rPr>
      <t>-1</t>
    </r>
  </si>
  <si>
    <r>
      <t>(ug/m</t>
    </r>
    <r>
      <rPr>
        <vertAlign val="superscript"/>
        <sz val="8"/>
        <rFont val="Arial"/>
        <family val="2"/>
      </rPr>
      <t>3</t>
    </r>
    <r>
      <rPr>
        <sz val="8"/>
        <rFont val="Arial"/>
        <family val="2"/>
      </rPr>
      <t>)</t>
    </r>
    <r>
      <rPr>
        <vertAlign val="superscript"/>
        <sz val="8"/>
        <rFont val="Arial"/>
        <family val="2"/>
      </rPr>
      <t>-1</t>
    </r>
  </si>
  <si>
    <t>Reference Dose (oral)</t>
  </si>
  <si>
    <t>Reference Concentration (inhalation)</t>
  </si>
  <si>
    <t>mg/kg-d</t>
  </si>
  <si>
    <t>Apparent Diffusivity (SSGs)</t>
  </si>
  <si>
    <t>Final Volatilization Factor</t>
  </si>
  <si>
    <t>Mutagen?</t>
  </si>
  <si>
    <t>TABLE H. PHYSIO-CHEMICAL AND TOXICITY CONSTANTS USED IN MODELS.</t>
  </si>
  <si>
    <t>Carcinogenic Effects Final Action Level</t>
  </si>
  <si>
    <t>Mutagenic Effects Final Action Level</t>
  </si>
  <si>
    <t>Final Tier 2 Action Level:</t>
  </si>
  <si>
    <t>Inhalation (vapors+particulates)</t>
  </si>
  <si>
    <t>Inhalation (particulates only)</t>
  </si>
  <si>
    <t>1/Inhalation (vapors+particulates)</t>
  </si>
  <si>
    <t>1/Inhalation (particulates only)</t>
  </si>
  <si>
    <t>Inhalation Age-Adjusted Factor</t>
  </si>
  <si>
    <t>Noncancer Effects Final Action Level</t>
  </si>
  <si>
    <t>Calculation of Tier 2 Soil Direct-Exposure Action Levels</t>
  </si>
  <si>
    <t>TABLE J. TARGET ORGANS AND CHRONIC HEALTH EFFECTS
(For general reference only.  May not be adequately comprehensive for some chemicals.
Some noted effects may be insignificant.  Refer to original documents for additional information.)</t>
  </si>
  <si>
    <t>HUMAN EXPOSURE PARAMETER VALUES AND TARGET RISKS</t>
  </si>
  <si>
    <t>Tier 1 AL</t>
  </si>
  <si>
    <t>*Target Hazard Quotient</t>
  </si>
  <si>
    <t>*Default target risks used in Tier 1 EALs vary with respect to contaminant and exposure scenario</t>
  </si>
  <si>
    <t>Mutagenic Concerns:</t>
  </si>
  <si>
    <t>Saturation (Csat, liquids only)</t>
  </si>
  <si>
    <t>Unrestricted (Residential) Land Use</t>
  </si>
  <si>
    <t>Commercial/Industrial Land Use Only</t>
  </si>
  <si>
    <t>Construction/Trench Worker Exposure</t>
  </si>
  <si>
    <t>Final Action Level</t>
  </si>
  <si>
    <t>Tier 2 Soil Action Level</t>
  </si>
  <si>
    <t>Noncancer Effects</t>
  </si>
  <si>
    <t>Saturation</t>
  </si>
  <si>
    <t>2. Addresses mass-balance issues for volatile chemicals by accounting for thickness of contaminated soil (nonvolatile chemicals not affected).</t>
  </si>
  <si>
    <t xml:space="preserve">1. Calculates Tier 2 direct-exposure action levels (screening levels) for soil. Assumes exposure by ingestion, inhalation and dermal contact.   </t>
  </si>
  <si>
    <t>Tier 2 Soil Direct-Exposure Action Levels</t>
  </si>
  <si>
    <t>METHYLNAPHTHALENE, 1-</t>
  </si>
  <si>
    <t>METHYLNAPHTHALENE, 2-</t>
  </si>
  <si>
    <r>
      <t>mg/m</t>
    </r>
    <r>
      <rPr>
        <vertAlign val="superscript"/>
        <sz val="8"/>
        <rFont val="Arial"/>
        <family val="2"/>
      </rPr>
      <t>3</t>
    </r>
  </si>
  <si>
    <t>A2</t>
  </si>
  <si>
    <t>b. Chemicals classified as mutagenic (M) in USEPA Regional Screening Levels guidance (USEPA 2011).</t>
  </si>
  <si>
    <r>
      <t xml:space="preserve">Highlight and justify all changes in text of Environmental Risk Assessment Report </t>
    </r>
    <r>
      <rPr>
        <b/>
        <sz val="10"/>
        <color indexed="10"/>
        <rFont val="Arial"/>
        <family val="2"/>
      </rPr>
      <t>(writeprotect password = EAL)</t>
    </r>
  </si>
  <si>
    <t>USEPA, 2011, Screening Levels for Chemical Contaminants: U.S. Environmental Protection Agency, June 2011, prepared by Oak Ridge National Laboratories, http://www.epa.gov/region09/waste/sfund/prg/</t>
  </si>
  <si>
    <t>1.  Default human exposure parameter values from USEPA Regional Screening Levels Guidance (USEPA 2011) unless otherwise noted.</t>
  </si>
  <si>
    <t>2.  Refer to Appendx 1 for and Appendix 2 OF DOH EHE guidance for discussion of construction/trench worker exposure scenario (HDOH 2011).</t>
  </si>
  <si>
    <t>HDOH, 2011, Evaluation of Environmental Hazards at Sites with Contaminated Soil and Groundwater: Hawai’i Department of Health, Office of Hazard Evaluation and Emergency Response, Fall 2011, www.hawaii.gov/health/environmental/hazard/eal2005.html.</t>
  </si>
  <si>
    <r>
      <rPr>
        <b/>
        <sz val="8"/>
        <rFont val="Arial"/>
        <family val="2"/>
      </rPr>
      <t xml:space="preserve">Reference: HDOH EHE guidance, Appendix 1 (HDOH 2011). </t>
    </r>
    <r>
      <rPr>
        <b/>
        <sz val="8"/>
        <color indexed="10"/>
        <rFont val="Arial"/>
        <family val="2"/>
      </rPr>
      <t>Writeprotect Password: "EAL"</t>
    </r>
  </si>
  <si>
    <t xml:space="preserve"> </t>
  </si>
  <si>
    <t>BENOMYL</t>
  </si>
  <si>
    <t>BIS(2-CHLORO-1-METHYLETHYL)ETHER</t>
  </si>
  <si>
    <t>General Notes:</t>
  </si>
  <si>
    <t>Dibromochloromethane, dibromochloropropane and pyrene considered volatile for purposes of modeling (USEPA 2004). (Molecular weight adjusted to 199 in column E (hidden) to permit generation of volatilization factor in soil direct-exposure models.)</t>
  </si>
  <si>
    <t xml:space="preserve">4. Does not address potential vapor intrusion concerns, nuisance concerns, leaching concerns or ecological concerns.  </t>
  </si>
  <si>
    <t xml:space="preserve">5. Use default values in absence of site-specific data.  </t>
  </si>
  <si>
    <t>6. Natural background concentration of metals replaces risk-base action level if higher (e.g., arsenic).</t>
  </si>
  <si>
    <t>8. Password to unprotect worksheets is "EAL."</t>
  </si>
  <si>
    <t>7.  Refer to USEPA RSLs for development of Trichloroethylene and Vinyl Chloride Tier 2 EALs (alternative models).</t>
  </si>
  <si>
    <t>Vapor</t>
  </si>
  <si>
    <t>Pressure</t>
  </si>
  <si>
    <t>(mm Hg)</t>
  </si>
  <si>
    <t xml:space="preserve">  </t>
  </si>
  <si>
    <t>Chemical considered to be "volatile" if Henry's number (atm m3/mole) &gt;0.00001 or VP &gt;1 mm Hg and molecular weight &lt;200, and "semi-volatile" if molecular weight &gt;200.</t>
  </si>
  <si>
    <t>Tetrachloroethylene - Cancer-based toxicity factors from CalEPA 2016; noncancer toxicity factors from USEPA 2016.</t>
  </si>
  <si>
    <r>
      <t xml:space="preserve">Physical state of chemical at ambient conditions </t>
    </r>
    <r>
      <rPr>
        <sz val="8"/>
        <rFont val="Arial"/>
        <family val="2"/>
      </rPr>
      <t>(V - volatile, NV - nonvolatile, SV-semivolatile, S - solid, L - liquid, G - gas).</t>
    </r>
  </si>
  <si>
    <r>
      <t xml:space="preserve">Physio-chemical constants and toxicity factors </t>
    </r>
    <r>
      <rPr>
        <sz val="8"/>
        <rFont val="Arial"/>
        <family val="2"/>
      </rPr>
      <t>primarily from USEPA RSL guidance (USEPA 2017). Other references include: National Library of Medicine Toxnet database (NLM 2008a), NLM ChemID Plus (NLM 2008b), ATSDR Toxprofiles (ATSDR 2006) and USDOE RAIS database (USDOE 2006), in that order or preference, unless otherwise noted.</t>
    </r>
  </si>
  <si>
    <r>
      <t xml:space="preserve">Reference Concentration (RfC) </t>
    </r>
    <r>
      <rPr>
        <sz val="8"/>
        <rFont val="Arial"/>
        <family val="2"/>
      </rPr>
      <t>for volatile noncarcinogens calculated based on oral reference dose if not available in USEPA RSL guidance (see Section 1.3; RfC = RfD x 80kg x (1/20m3-d). Resulting action levels may differ from those presented in the USEPA RSL guidance. Includes: acenaphthalene, acenaphthylene, anthracene, 2-chlorophenol, bromodichloromethane, dibromochloromethane, dibromomethane, 1,3 dichlorobenzene, 1,1 dichloroethane, cis 1,2-dichloroethylene, trans 1,2-dichloroethylene, 2,4-dimethylphenol, fluorene, 1 &amp; 2-methylnaphthalene, 2-nitrotoluene, 3-nitrotoluene, phenanthrene, pyrene, 1,1,1,2-tetrachloroethane, 2,4,5-trichlorophenol.</t>
    </r>
  </si>
  <si>
    <t>Antimony toxicty factors based on metallic forms.</t>
  </si>
  <si>
    <t>Total Chromium action levels based assumed background (refer to Section 2.8 in Volume 1).</t>
  </si>
  <si>
    <t>Cyanide action levels based on CN-</t>
  </si>
  <si>
    <t>Dioxins TEQ cancer slope factors based on  2,3,7,8-TCDD; see HDOH 2010 for background of noncancer toxicity factors.</t>
  </si>
  <si>
    <t>Ethanol toxicity factors not available (refer to Section 5.3.3 in Appendix 1.</t>
  </si>
  <si>
    <t>Mercury toxicity factors based on mercuric salts.</t>
  </si>
  <si>
    <t>PCB constants and toxicity factors based on Arochlor 1254.</t>
  </si>
  <si>
    <r>
      <t xml:space="preserve">TBA vapor pressure from </t>
    </r>
    <r>
      <rPr>
        <i/>
        <sz val="8"/>
        <rFont val="Arial"/>
        <family val="2"/>
      </rPr>
      <t>Management of MtBE Impacted Sites</t>
    </r>
    <r>
      <rPr>
        <sz val="8"/>
        <rFont val="Arial"/>
        <family val="2"/>
      </rPr>
      <t xml:space="preserve"> (RWQCB 2001).</t>
    </r>
  </si>
  <si>
    <t>TPHg and TPHmd solubilities from USACE 1998. TPH as gasolines and middle distillates diffusivity constants based on xylenes.  Required for direct exposure models - Does not significantly affect action levels.  See Chapter 5 of Appendix 1.</t>
  </si>
  <si>
    <t>HDOH, 2017, Evaluation of Environmental Hazards at Sites with Contaminated Soil and Groundwater: Hawai’i Department of Health, Office of Hazard Evaluation and Emergency Response, Fall 2017, www.hawaii.gov/health/environmental/hazard/eal2005.html.</t>
  </si>
  <si>
    <t>USEPA, 2017, Screening Levels for Chemical Contaminants: U.S. Environmental Protection Agency, June 2017, prepared by Oak Ridge National Laboratories, http://www.epa.gov/region09/waste/sfund/prg/</t>
  </si>
  <si>
    <t>1.  Default human exposure parameter values from USEPA Regional Screening Levels Guidance (USEPA 2017) unless otherwise noted.</t>
  </si>
  <si>
    <t>2.  Refer to Appendx 1 for and Appendix 2 OF DOH EHE guidance for discussion of construction/trench worker exposure scenario (HDOH 2017).</t>
  </si>
  <si>
    <t>Hawai'i DOH (Fall 2017)</t>
  </si>
  <si>
    <t>*Saturation limits and Construction/Trench worker action levels take precedence if lower.  Refer to detailed calculations worksheet. Use default saturation for TPHmd of 500 mg/kg instead of Sat generated by Tier 2 spreadsheet (see HDOH 2017, Appendix 1).</t>
  </si>
  <si>
    <r>
      <t xml:space="preserve">Tier 2 model based on USEPA Regional Screening Levels model (USEPA 2017) with option for mass-balance Volatilization Factor as presented in USEPA </t>
    </r>
    <r>
      <rPr>
        <i/>
        <sz val="10"/>
        <rFont val="Arial"/>
        <family val="2"/>
      </rPr>
      <t>Soil Screening Guidance</t>
    </r>
    <r>
      <rPr>
        <sz val="10"/>
        <rFont val="Arial"/>
        <family val="2"/>
      </rPr>
      <t xml:space="preserve"> document (USEPA 2002).  Refer to Tier 2 Calculations worksheet and Appendix 2 of HDOH EHE guidance (HDOH 2017). </t>
    </r>
    <r>
      <rPr>
        <b/>
        <sz val="10"/>
        <rFont val="Arial"/>
        <family val="2"/>
      </rPr>
      <t>Addresses direct exposure hazards only.  Other potential environmental hazards must be evaluated separately (vapor intrusion, leaching, ecotoxicity, gross contamination, etc.).</t>
    </r>
  </si>
  <si>
    <t>Reference: HDOH EHE guidance, Appendix 1 (HDOH 2016). Writeprotect Password: "EAL"</t>
  </si>
  <si>
    <r>
      <t>(mg/kg-d)</t>
    </r>
    <r>
      <rPr>
        <b/>
        <vertAlign val="superscript"/>
        <sz val="8"/>
        <color theme="1"/>
        <rFont val="Arial"/>
        <family val="2"/>
      </rPr>
      <t>-1</t>
    </r>
  </si>
  <si>
    <r>
      <t>(ug/m</t>
    </r>
    <r>
      <rPr>
        <b/>
        <vertAlign val="superscript"/>
        <sz val="8"/>
        <color theme="1"/>
        <rFont val="Arial"/>
        <family val="2"/>
      </rPr>
      <t>3</t>
    </r>
    <r>
      <rPr>
        <b/>
        <sz val="8"/>
        <color theme="1"/>
        <rFont val="Arial"/>
        <family val="2"/>
      </rPr>
      <t>)</t>
    </r>
    <r>
      <rPr>
        <b/>
        <vertAlign val="superscript"/>
        <sz val="8"/>
        <color theme="1"/>
        <rFont val="Arial"/>
        <family val="2"/>
      </rPr>
      <t>-1</t>
    </r>
  </si>
  <si>
    <r>
      <t>(mg/m</t>
    </r>
    <r>
      <rPr>
        <b/>
        <vertAlign val="superscript"/>
        <sz val="8"/>
        <color theme="1"/>
        <rFont val="Arial"/>
        <family val="2"/>
      </rPr>
      <t>3</t>
    </r>
    <r>
      <rPr>
        <b/>
        <sz val="8"/>
        <color theme="1"/>
        <rFont val="Arial"/>
        <family val="2"/>
      </rPr>
      <t>)</t>
    </r>
  </si>
  <si>
    <t>V</t>
  </si>
  <si>
    <t>SV</t>
  </si>
  <si>
    <t>TPH -Total Petroleum Hydrocarbons.  See Section 6 of text for discussion of different TPH categories.  TPH physiochemical constants based on C0-C10 aromatic compounds  published in MADEP 2002 with noted exceptions (primarily affects soil leaching models).  Molecular weights form ATSDR (gasolines) and NIOSH (middle distillates). TPHg solubility after USACE  1998. TPHg and TPHd vapor pressures from NJDEP 2008 and 2010, respectively.</t>
  </si>
  <si>
    <t>TPH toxicity factors discussed in Appendix 1, Chapter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</si>
</sst>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0.0E+00"/>
    <numFmt numFmtId="167" formatCode="#,##0.0"/>
  </numFmts>
  <fonts count="30" x14ac:knownFonts="1">
    <font>
      <sz val="10"/>
      <name val="Arial"/>
    </font>
    <font>
      <sz val="8"/>
      <name val="Arial"/>
      <family val="2"/>
    </font>
    <font>
      <b/>
      <sz val="8"/>
      <name val="Arial"/>
      <family val="2"/>
    </font>
    <font>
      <b/>
      <sz val="12"/>
      <name val="Arial"/>
      <family val="2"/>
    </font>
    <font>
      <sz val="10"/>
      <name val="Arial"/>
      <family val="2"/>
    </font>
    <font>
      <b/>
      <vertAlign val="superscript"/>
      <sz val="8"/>
      <name val="Arial"/>
      <family val="2"/>
    </font>
    <font>
      <i/>
      <sz val="8"/>
      <name val="Arial"/>
      <family val="2"/>
    </font>
    <font>
      <vertAlign val="superscript"/>
      <sz val="8"/>
      <name val="Arial"/>
      <family val="2"/>
    </font>
    <font>
      <b/>
      <vertAlign val="subscript"/>
      <sz val="8"/>
      <name val="Arial"/>
      <family val="2"/>
    </font>
    <font>
      <b/>
      <sz val="8"/>
      <color indexed="10"/>
      <name val="Arial"/>
      <family val="2"/>
    </font>
    <font>
      <vertAlign val="subscript"/>
      <sz val="8"/>
      <name val="Arial"/>
      <family val="2"/>
    </font>
    <font>
      <b/>
      <sz val="10"/>
      <name val="Arial"/>
      <family val="2"/>
    </font>
    <font>
      <sz val="8"/>
      <name val="Arial"/>
      <family val="2"/>
    </font>
    <font>
      <vertAlign val="superscript"/>
      <sz val="10"/>
      <name val="Arial"/>
      <family val="2"/>
    </font>
    <font>
      <b/>
      <sz val="10"/>
      <color indexed="10"/>
      <name val="Arial"/>
      <family val="2"/>
    </font>
    <font>
      <sz val="10"/>
      <color indexed="10"/>
      <name val="Arial"/>
      <family val="2"/>
    </font>
    <font>
      <sz val="8"/>
      <color indexed="10"/>
      <name val="Arial"/>
      <family val="2"/>
    </font>
    <font>
      <b/>
      <sz val="14"/>
      <name val="Arial"/>
      <family val="2"/>
    </font>
    <font>
      <i/>
      <sz val="10"/>
      <name val="Arial"/>
      <family val="2"/>
    </font>
    <font>
      <sz val="8"/>
      <color indexed="8"/>
      <name val="Arial"/>
      <family val="2"/>
    </font>
    <font>
      <b/>
      <sz val="11"/>
      <name val="Arial"/>
      <family val="2"/>
    </font>
    <font>
      <sz val="11"/>
      <name val="Arial"/>
      <family val="2"/>
    </font>
    <font>
      <b/>
      <sz val="8"/>
      <color theme="1"/>
      <name val="Arial"/>
      <family val="2"/>
    </font>
    <font>
      <sz val="8"/>
      <color theme="1"/>
      <name val="Arial"/>
      <family val="2"/>
    </font>
    <font>
      <sz val="8"/>
      <color rgb="FFFF0000"/>
      <name val="Arial"/>
      <family val="2"/>
    </font>
    <font>
      <b/>
      <sz val="8"/>
      <color rgb="FFFF0000"/>
      <name val="Arial"/>
      <family val="2"/>
    </font>
    <font>
      <sz val="12"/>
      <color rgb="FFFF0000"/>
      <name val="Arial"/>
      <family val="2"/>
    </font>
    <font>
      <sz val="10"/>
      <color theme="1"/>
      <name val="Arial"/>
      <family val="2"/>
    </font>
    <font>
      <b/>
      <sz val="16"/>
      <color rgb="FFFF0000"/>
      <name val="Arial"/>
      <family val="2"/>
    </font>
    <font>
      <b/>
      <vertAlign val="superscript"/>
      <sz val="8"/>
      <color theme="1"/>
      <name val="Arial"/>
      <family val="2"/>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indexed="47"/>
        <bgColor indexed="64"/>
      </patternFill>
    </fill>
    <fill>
      <patternFill patternType="solid">
        <fgColor indexed="45"/>
        <bgColor indexed="64"/>
      </patternFill>
    </fill>
    <fill>
      <patternFill patternType="solid">
        <fgColor indexed="42"/>
        <bgColor indexed="64"/>
      </patternFill>
    </fill>
    <fill>
      <patternFill patternType="solid">
        <fgColor indexed="42"/>
        <bgColor indexed="44"/>
      </patternFill>
    </fill>
    <fill>
      <patternFill patternType="solid">
        <fgColor rgb="FFFFFF99"/>
        <bgColor indexed="64"/>
      </patternFill>
    </fill>
  </fills>
  <borders count="102">
    <border>
      <left/>
      <right/>
      <top/>
      <bottom/>
      <diagonal/>
    </border>
    <border>
      <left style="double">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top/>
      <bottom style="double">
        <color indexed="64"/>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top/>
      <bottom/>
      <diagonal/>
    </border>
    <border>
      <left style="double">
        <color indexed="64"/>
      </left>
      <right/>
      <top/>
      <bottom style="double">
        <color indexed="64"/>
      </bottom>
      <diagonal/>
    </border>
    <border>
      <left style="medium">
        <color indexed="64"/>
      </left>
      <right/>
      <top style="double">
        <color indexed="64"/>
      </top>
      <bottom/>
      <diagonal/>
    </border>
    <border>
      <left/>
      <right style="double">
        <color indexed="64"/>
      </right>
      <top style="double">
        <color indexed="64"/>
      </top>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double">
        <color indexed="64"/>
      </bottom>
      <diagonal/>
    </border>
    <border>
      <left/>
      <right/>
      <top style="double">
        <color indexed="64"/>
      </top>
      <bottom style="medium">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bottom style="double">
        <color indexed="64"/>
      </bottom>
      <diagonal/>
    </border>
    <border>
      <left style="double">
        <color indexed="64"/>
      </left>
      <right style="thin">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top/>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medium">
        <color indexed="64"/>
      </top>
      <bottom style="double">
        <color indexed="64"/>
      </bottom>
      <diagonal/>
    </border>
    <border>
      <left style="double">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double">
        <color indexed="64"/>
      </right>
      <top style="double">
        <color indexed="64"/>
      </top>
      <bottom style="medium">
        <color indexed="64"/>
      </bottom>
      <diagonal/>
    </border>
    <border>
      <left/>
      <right style="medium">
        <color indexed="64"/>
      </right>
      <top style="medium">
        <color indexed="64"/>
      </top>
      <bottom/>
      <diagonal/>
    </border>
    <border>
      <left style="medium">
        <color indexed="64"/>
      </left>
      <right style="double">
        <color indexed="64"/>
      </right>
      <top/>
      <bottom/>
      <diagonal/>
    </border>
    <border>
      <left/>
      <right style="medium">
        <color indexed="64"/>
      </right>
      <top/>
      <bottom/>
      <diagonal/>
    </border>
    <border>
      <left/>
      <right style="medium">
        <color indexed="64"/>
      </right>
      <top/>
      <bottom style="double">
        <color indexed="64"/>
      </bottom>
      <diagonal/>
    </border>
    <border>
      <left style="medium">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medium">
        <color indexed="64"/>
      </left>
      <right/>
      <top/>
      <bottom/>
      <diagonal/>
    </border>
    <border>
      <left style="thin">
        <color indexed="64"/>
      </left>
      <right style="thin">
        <color indexed="64"/>
      </right>
      <top/>
      <bottom/>
      <diagonal/>
    </border>
    <border>
      <left style="double">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double">
        <color indexed="64"/>
      </left>
      <right style="double">
        <color indexed="64"/>
      </right>
      <top/>
      <bottom/>
      <diagonal/>
    </border>
    <border>
      <left style="thin">
        <color indexed="64"/>
      </left>
      <right style="double">
        <color indexed="64"/>
      </right>
      <top style="double">
        <color indexed="64"/>
      </top>
      <bottom/>
      <diagonal/>
    </border>
    <border>
      <left style="thin">
        <color indexed="64"/>
      </left>
      <right style="double">
        <color indexed="64"/>
      </right>
      <top style="medium">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medium">
        <color indexed="64"/>
      </top>
      <bottom/>
      <diagonal/>
    </border>
    <border>
      <left/>
      <right style="medium">
        <color indexed="64"/>
      </right>
      <top/>
      <bottom style="medium">
        <color indexed="64"/>
      </bottom>
      <diagonal/>
    </border>
    <border>
      <left style="double">
        <color indexed="64"/>
      </left>
      <right style="medium">
        <color indexed="64"/>
      </right>
      <top style="double">
        <color indexed="64"/>
      </top>
      <bottom/>
      <diagonal/>
    </border>
  </borders>
  <cellStyleXfs count="1">
    <xf numFmtId="0" fontId="0" fillId="0" borderId="0"/>
  </cellStyleXfs>
  <cellXfs count="595">
    <xf numFmtId="0" fontId="0" fillId="0" borderId="0" xfId="0"/>
    <xf numFmtId="49" fontId="1" fillId="0" borderId="0" xfId="0" applyNumberFormat="1" applyFont="1" applyAlignment="1">
      <alignment horizontal="center"/>
    </xf>
    <xf numFmtId="49" fontId="2" fillId="0" borderId="0" xfId="0" applyNumberFormat="1" applyFont="1" applyBorder="1"/>
    <xf numFmtId="49" fontId="1" fillId="0" borderId="1" xfId="0" applyNumberFormat="1" applyFont="1" applyBorder="1"/>
    <xf numFmtId="0" fontId="4" fillId="0" borderId="0" xfId="0" applyFont="1"/>
    <xf numFmtId="0" fontId="1" fillId="0" borderId="0" xfId="0" applyFont="1"/>
    <xf numFmtId="0" fontId="1" fillId="0" borderId="0" xfId="0" applyFont="1" applyAlignment="1">
      <alignment horizontal="center"/>
    </xf>
    <xf numFmtId="0" fontId="1" fillId="0" borderId="0" xfId="0" applyFont="1" applyAlignment="1" applyProtection="1">
      <alignment horizontal="center"/>
    </xf>
    <xf numFmtId="0" fontId="1" fillId="0" borderId="0" xfId="0" applyFont="1" applyBorder="1" applyAlignment="1" applyProtection="1">
      <alignment horizontal="center"/>
    </xf>
    <xf numFmtId="0" fontId="3" fillId="0" borderId="0" xfId="0" applyFont="1" applyAlignment="1" applyProtection="1">
      <alignment horizontal="centerContinuous"/>
    </xf>
    <xf numFmtId="0" fontId="2" fillId="0" borderId="0" xfId="0" applyFont="1" applyAlignment="1" applyProtection="1">
      <alignment horizontal="centerContinuous"/>
    </xf>
    <xf numFmtId="166" fontId="2" fillId="0" borderId="0" xfId="0" applyNumberFormat="1" applyFont="1" applyAlignment="1">
      <alignment horizontal="centerContinuous" vertical="center"/>
    </xf>
    <xf numFmtId="166" fontId="1" fillId="0" borderId="0" xfId="0" applyNumberFormat="1" applyFont="1" applyAlignment="1">
      <alignment horizontal="center"/>
    </xf>
    <xf numFmtId="1" fontId="1" fillId="0" borderId="2" xfId="0" applyNumberFormat="1" applyFont="1" applyFill="1" applyBorder="1" applyAlignment="1" applyProtection="1">
      <alignment horizontal="left"/>
    </xf>
    <xf numFmtId="1" fontId="1" fillId="0" borderId="3" xfId="0" applyNumberFormat="1" applyFont="1" applyFill="1" applyBorder="1" applyAlignment="1" applyProtection="1">
      <alignment horizontal="left"/>
    </xf>
    <xf numFmtId="11" fontId="1" fillId="0" borderId="4" xfId="0" applyNumberFormat="1" applyFont="1" applyFill="1" applyBorder="1" applyAlignment="1" applyProtection="1">
      <alignment horizontal="center"/>
    </xf>
    <xf numFmtId="2" fontId="1" fillId="0" borderId="4" xfId="0" applyNumberFormat="1" applyFont="1" applyFill="1" applyBorder="1" applyAlignment="1" applyProtection="1">
      <alignment horizontal="center"/>
    </xf>
    <xf numFmtId="0" fontId="4" fillId="0" borderId="0" xfId="0" applyFont="1" applyBorder="1"/>
    <xf numFmtId="166" fontId="4" fillId="0" borderId="0" xfId="0" applyNumberFormat="1" applyFont="1" applyBorder="1"/>
    <xf numFmtId="0" fontId="1" fillId="0" borderId="0" xfId="0" applyFont="1" applyBorder="1"/>
    <xf numFmtId="0" fontId="4" fillId="0" borderId="5" xfId="0" applyFont="1" applyBorder="1"/>
    <xf numFmtId="166" fontId="4" fillId="0" borderId="5" xfId="0" applyNumberFormat="1" applyFont="1" applyBorder="1"/>
    <xf numFmtId="166" fontId="4" fillId="0" borderId="0" xfId="0" applyNumberFormat="1" applyFont="1"/>
    <xf numFmtId="166" fontId="1" fillId="0" borderId="0" xfId="0" applyNumberFormat="1" applyFont="1"/>
    <xf numFmtId="1" fontId="1" fillId="0" borderId="0" xfId="0" applyNumberFormat="1" applyFont="1" applyFill="1" applyBorder="1" applyAlignment="1" applyProtection="1">
      <alignment horizontal="center"/>
    </xf>
    <xf numFmtId="166" fontId="4" fillId="0" borderId="6" xfId="0" applyNumberFormat="1" applyFont="1" applyBorder="1"/>
    <xf numFmtId="166" fontId="1" fillId="0" borderId="0" xfId="0" applyNumberFormat="1" applyFont="1" applyBorder="1" applyAlignment="1">
      <alignment horizontal="center"/>
    </xf>
    <xf numFmtId="49" fontId="1" fillId="0" borderId="0" xfId="0" applyNumberFormat="1" applyFont="1" applyAlignment="1" applyProtection="1">
      <alignment horizontal="center"/>
    </xf>
    <xf numFmtId="49" fontId="2" fillId="0" borderId="0" xfId="0" applyNumberFormat="1" applyFont="1" applyAlignment="1" applyProtection="1">
      <alignment horizontal="centerContinuous"/>
    </xf>
    <xf numFmtId="0" fontId="1" fillId="0" borderId="0" xfId="0" applyFont="1" applyAlignment="1">
      <alignment vertical="center" textRotation="90"/>
    </xf>
    <xf numFmtId="1" fontId="1" fillId="0" borderId="7" xfId="0" applyNumberFormat="1" applyFont="1" applyBorder="1" applyAlignment="1">
      <alignment horizontal="center"/>
    </xf>
    <xf numFmtId="1" fontId="1" fillId="0" borderId="7" xfId="0" applyNumberFormat="1" applyFont="1" applyFill="1" applyBorder="1" applyAlignment="1">
      <alignment horizontal="center"/>
    </xf>
    <xf numFmtId="49" fontId="1" fillId="0" borderId="8" xfId="0" applyNumberFormat="1" applyFont="1" applyBorder="1" applyAlignment="1">
      <alignment horizontal="left"/>
    </xf>
    <xf numFmtId="1" fontId="1" fillId="0" borderId="9" xfId="0" applyNumberFormat="1" applyFont="1" applyBorder="1" applyAlignment="1">
      <alignment horizontal="center"/>
    </xf>
    <xf numFmtId="1" fontId="1" fillId="2" borderId="7" xfId="0" applyNumberFormat="1" applyFont="1" applyFill="1" applyBorder="1" applyAlignment="1">
      <alignment horizontal="center"/>
    </xf>
    <xf numFmtId="1" fontId="1" fillId="2" borderId="10" xfId="0" applyNumberFormat="1" applyFont="1" applyFill="1" applyBorder="1" applyAlignment="1" applyProtection="1">
      <alignment horizontal="center"/>
    </xf>
    <xf numFmtId="1" fontId="1" fillId="2" borderId="11" xfId="0" applyNumberFormat="1" applyFont="1" applyFill="1" applyBorder="1" applyAlignment="1" applyProtection="1">
      <alignment horizontal="center"/>
    </xf>
    <xf numFmtId="1" fontId="1" fillId="0" borderId="11" xfId="0" applyNumberFormat="1" applyFont="1" applyFill="1" applyBorder="1" applyAlignment="1" applyProtection="1">
      <alignment horizontal="center"/>
    </xf>
    <xf numFmtId="1" fontId="1" fillId="0" borderId="11" xfId="0" applyNumberFormat="1" applyFont="1" applyFill="1" applyBorder="1" applyAlignment="1">
      <alignment horizontal="center"/>
    </xf>
    <xf numFmtId="1" fontId="1" fillId="2" borderId="11" xfId="0" applyNumberFormat="1" applyFont="1" applyFill="1" applyBorder="1" applyAlignment="1">
      <alignment horizontal="center"/>
    </xf>
    <xf numFmtId="49" fontId="1" fillId="0" borderId="0" xfId="0" applyNumberFormat="1" applyFont="1" applyBorder="1" applyAlignment="1" applyProtection="1">
      <alignment horizontal="center"/>
    </xf>
    <xf numFmtId="0" fontId="1" fillId="0" borderId="12" xfId="0" applyFont="1" applyBorder="1" applyAlignment="1" applyProtection="1">
      <alignment horizontal="left"/>
    </xf>
    <xf numFmtId="49" fontId="2" fillId="0" borderId="12" xfId="0" applyNumberFormat="1" applyFont="1" applyFill="1" applyBorder="1"/>
    <xf numFmtId="49" fontId="1" fillId="0" borderId="12" xfId="0" applyNumberFormat="1" applyFont="1" applyFill="1" applyBorder="1"/>
    <xf numFmtId="49" fontId="1" fillId="0" borderId="0" xfId="0" applyNumberFormat="1" applyFont="1" applyFill="1" applyBorder="1"/>
    <xf numFmtId="49" fontId="1" fillId="0" borderId="13" xfId="0" applyNumberFormat="1" applyFont="1" applyFill="1" applyBorder="1"/>
    <xf numFmtId="0" fontId="2" fillId="0" borderId="14" xfId="0" applyFont="1" applyBorder="1" applyAlignment="1" applyProtection="1">
      <alignment horizontal="centerContinuous" vertical="center"/>
    </xf>
    <xf numFmtId="11" fontId="2" fillId="0" borderId="3" xfId="0" applyNumberFormat="1" applyFont="1" applyBorder="1" applyAlignment="1" applyProtection="1">
      <alignment horizontal="centerContinuous"/>
    </xf>
    <xf numFmtId="11" fontId="1" fillId="0" borderId="3" xfId="0" applyNumberFormat="1" applyFont="1" applyFill="1" applyBorder="1" applyAlignment="1" applyProtection="1">
      <alignment horizontal="centerContinuous"/>
    </xf>
    <xf numFmtId="11" fontId="1" fillId="0" borderId="3" xfId="0" applyNumberFormat="1" applyFont="1" applyBorder="1" applyAlignment="1" applyProtection="1">
      <alignment horizontal="centerContinuous"/>
    </xf>
    <xf numFmtId="49" fontId="1" fillId="0" borderId="3" xfId="0" applyNumberFormat="1" applyFont="1" applyFill="1" applyBorder="1" applyAlignment="1" applyProtection="1">
      <alignment horizontal="centerContinuous"/>
    </xf>
    <xf numFmtId="166" fontId="1" fillId="0" borderId="3" xfId="0" applyNumberFormat="1" applyFont="1" applyBorder="1" applyAlignment="1" applyProtection="1">
      <alignment horizontal="centerContinuous"/>
    </xf>
    <xf numFmtId="49" fontId="1" fillId="0" borderId="15" xfId="0" applyNumberFormat="1" applyFont="1" applyBorder="1" applyAlignment="1" applyProtection="1">
      <alignment horizontal="centerContinuous"/>
    </xf>
    <xf numFmtId="11" fontId="5" fillId="0" borderId="16" xfId="0" applyNumberFormat="1" applyFont="1" applyBorder="1" applyAlignment="1" applyProtection="1">
      <alignment horizontal="center" vertical="center" textRotation="90"/>
    </xf>
    <xf numFmtId="11" fontId="5" fillId="0" borderId="17" xfId="0" applyNumberFormat="1" applyFont="1" applyBorder="1" applyAlignment="1" applyProtection="1">
      <alignment horizontal="center" vertical="center" textRotation="90"/>
    </xf>
    <xf numFmtId="11" fontId="2" fillId="0" borderId="16" xfId="0" applyNumberFormat="1" applyFont="1" applyBorder="1" applyAlignment="1" applyProtection="1">
      <alignment horizontal="center" vertical="center" textRotation="90"/>
    </xf>
    <xf numFmtId="49" fontId="2" fillId="0" borderId="16" xfId="0" applyNumberFormat="1" applyFont="1" applyBorder="1" applyAlignment="1" applyProtection="1">
      <alignment horizontal="center" vertical="center" textRotation="90"/>
    </xf>
    <xf numFmtId="166" fontId="2" fillId="0" borderId="16" xfId="0" applyNumberFormat="1" applyFont="1" applyBorder="1" applyAlignment="1" applyProtection="1">
      <alignment horizontal="center" vertical="center" textRotation="90"/>
    </xf>
    <xf numFmtId="166" fontId="5" fillId="0" borderId="18" xfId="0" applyNumberFormat="1" applyFont="1" applyBorder="1" applyAlignment="1" applyProtection="1">
      <alignment horizontal="center" vertical="center" textRotation="90"/>
    </xf>
    <xf numFmtId="49" fontId="2" fillId="0" borderId="19" xfId="0" applyNumberFormat="1" applyFont="1" applyBorder="1" applyAlignment="1" applyProtection="1">
      <alignment horizontal="left"/>
    </xf>
    <xf numFmtId="1" fontId="1" fillId="0" borderId="10" xfId="0" applyNumberFormat="1" applyFont="1" applyBorder="1" applyAlignment="1" applyProtection="1">
      <alignment horizontal="center"/>
    </xf>
    <xf numFmtId="1" fontId="1" fillId="0" borderId="7" xfId="0" applyNumberFormat="1" applyFont="1" applyBorder="1" applyAlignment="1" applyProtection="1">
      <alignment horizontal="center"/>
    </xf>
    <xf numFmtId="1" fontId="1" fillId="2" borderId="7" xfId="0" applyNumberFormat="1" applyFont="1" applyFill="1" applyBorder="1" applyAlignment="1" applyProtection="1">
      <alignment horizontal="center"/>
    </xf>
    <xf numFmtId="1" fontId="1" fillId="0" borderId="7" xfId="0" applyNumberFormat="1" applyFont="1" applyFill="1" applyBorder="1" applyAlignment="1" applyProtection="1">
      <alignment horizontal="center"/>
    </xf>
    <xf numFmtId="0" fontId="0" fillId="0" borderId="0" xfId="0" applyAlignment="1">
      <alignment wrapText="1"/>
    </xf>
    <xf numFmtId="49" fontId="2" fillId="0" borderId="0" xfId="0" applyNumberFormat="1" applyFont="1" applyFill="1" applyBorder="1"/>
    <xf numFmtId="49" fontId="1" fillId="0" borderId="1" xfId="0" applyNumberFormat="1" applyFont="1" applyFill="1" applyBorder="1"/>
    <xf numFmtId="49" fontId="1" fillId="0" borderId="20" xfId="0" applyNumberFormat="1" applyFont="1" applyFill="1" applyBorder="1"/>
    <xf numFmtId="49" fontId="1" fillId="0" borderId="12" xfId="0" applyNumberFormat="1" applyFont="1" applyFill="1" applyBorder="1" applyAlignment="1"/>
    <xf numFmtId="166" fontId="1" fillId="0" borderId="0" xfId="0" applyNumberFormat="1" applyFont="1" applyFill="1" applyAlignment="1">
      <alignment horizontal="center"/>
    </xf>
    <xf numFmtId="0" fontId="1" fillId="0" borderId="0" xfId="0" applyFont="1" applyFill="1" applyProtection="1"/>
    <xf numFmtId="0" fontId="1" fillId="0" borderId="0" xfId="0" applyFont="1" applyFill="1" applyAlignment="1" applyProtection="1">
      <alignment horizontal="center"/>
    </xf>
    <xf numFmtId="49" fontId="1" fillId="0" borderId="0" xfId="0" applyNumberFormat="1" applyFont="1" applyFill="1" applyAlignment="1" applyProtection="1">
      <alignment horizontal="right"/>
    </xf>
    <xf numFmtId="0" fontId="2" fillId="0" borderId="0" xfId="0" applyFont="1" applyFill="1" applyAlignment="1" applyProtection="1">
      <alignment horizontal="left"/>
    </xf>
    <xf numFmtId="0" fontId="1" fillId="0" borderId="0" xfId="0" applyFont="1" applyFill="1" applyBorder="1" applyProtection="1"/>
    <xf numFmtId="0" fontId="2" fillId="0" borderId="21" xfId="0" applyFont="1" applyFill="1" applyBorder="1" applyProtection="1"/>
    <xf numFmtId="0" fontId="1" fillId="0" borderId="21" xfId="0" applyFont="1" applyFill="1" applyBorder="1" applyAlignment="1" applyProtection="1">
      <alignment horizontal="center"/>
    </xf>
    <xf numFmtId="0" fontId="1" fillId="0" borderId="12" xfId="0" applyFont="1" applyFill="1" applyBorder="1" applyProtection="1"/>
    <xf numFmtId="0" fontId="1" fillId="0" borderId="0" xfId="0" applyFont="1" applyFill="1" applyBorder="1" applyAlignment="1" applyProtection="1">
      <alignment horizontal="center"/>
    </xf>
    <xf numFmtId="1" fontId="1" fillId="0" borderId="0" xfId="0" applyNumberFormat="1" applyFont="1" applyFill="1" applyAlignment="1" applyProtection="1">
      <alignment horizontal="center"/>
    </xf>
    <xf numFmtId="11" fontId="1" fillId="0" borderId="0" xfId="0" applyNumberFormat="1" applyFont="1" applyFill="1" applyAlignment="1" applyProtection="1">
      <alignment horizontal="center"/>
    </xf>
    <xf numFmtId="0" fontId="2" fillId="0" borderId="22" xfId="0" applyFont="1" applyFill="1" applyBorder="1" applyProtection="1"/>
    <xf numFmtId="0" fontId="1" fillId="0" borderId="21" xfId="0" applyFont="1" applyFill="1" applyBorder="1" applyAlignment="1" applyProtection="1">
      <alignment horizontal="right"/>
    </xf>
    <xf numFmtId="11" fontId="1" fillId="0" borderId="23" xfId="0" applyNumberFormat="1" applyFont="1" applyFill="1" applyBorder="1" applyAlignment="1" applyProtection="1">
      <alignment horizontal="center"/>
    </xf>
    <xf numFmtId="11" fontId="1" fillId="0" borderId="0" xfId="0" applyNumberFormat="1" applyFont="1" applyFill="1" applyBorder="1" applyAlignment="1" applyProtection="1">
      <alignment horizontal="center"/>
    </xf>
    <xf numFmtId="0" fontId="5" fillId="0" borderId="24" xfId="0" applyFont="1" applyFill="1" applyBorder="1" applyProtection="1"/>
    <xf numFmtId="0" fontId="2" fillId="0" borderId="25" xfId="0" applyFont="1" applyFill="1" applyBorder="1" applyProtection="1"/>
    <xf numFmtId="0" fontId="1" fillId="0" borderId="25" xfId="0" applyFont="1" applyFill="1" applyBorder="1" applyAlignment="1" applyProtection="1">
      <alignment horizontal="center"/>
    </xf>
    <xf numFmtId="11" fontId="1" fillId="0" borderId="25" xfId="0" applyNumberFormat="1" applyFont="1" applyFill="1" applyBorder="1" applyAlignment="1" applyProtection="1">
      <alignment horizontal="center"/>
    </xf>
    <xf numFmtId="0" fontId="1" fillId="0" borderId="26" xfId="0" applyFont="1" applyFill="1" applyBorder="1" applyAlignment="1" applyProtection="1">
      <alignment horizontal="center"/>
    </xf>
    <xf numFmtId="0" fontId="2" fillId="0" borderId="12" xfId="0" applyFont="1" applyFill="1" applyBorder="1" applyProtection="1"/>
    <xf numFmtId="0" fontId="2" fillId="0" borderId="0" xfId="0" applyFont="1" applyFill="1" applyBorder="1" applyProtection="1"/>
    <xf numFmtId="0" fontId="1" fillId="0" borderId="27" xfId="0" applyFont="1" applyFill="1" applyBorder="1" applyProtection="1"/>
    <xf numFmtId="0" fontId="1" fillId="0" borderId="28" xfId="0" applyFont="1" applyFill="1" applyBorder="1" applyProtection="1"/>
    <xf numFmtId="0" fontId="1" fillId="0" borderId="28" xfId="0" applyFont="1" applyFill="1" applyBorder="1" applyAlignment="1" applyProtection="1">
      <alignment horizontal="center"/>
    </xf>
    <xf numFmtId="0" fontId="5" fillId="0" borderId="3" xfId="0" applyFont="1" applyFill="1" applyBorder="1" applyProtection="1"/>
    <xf numFmtId="0" fontId="1" fillId="0" borderId="3" xfId="0" applyFont="1" applyFill="1" applyBorder="1" applyProtection="1"/>
    <xf numFmtId="0" fontId="1" fillId="0" borderId="3" xfId="0" applyFont="1" applyFill="1" applyBorder="1" applyAlignment="1" applyProtection="1">
      <alignment horizontal="center"/>
    </xf>
    <xf numFmtId="11" fontId="1" fillId="0" borderId="3" xfId="0" applyNumberFormat="1" applyFont="1" applyFill="1" applyBorder="1" applyAlignment="1" applyProtection="1">
      <alignment horizontal="center"/>
    </xf>
    <xf numFmtId="0" fontId="0" fillId="0" borderId="0" xfId="0" applyFill="1"/>
    <xf numFmtId="0" fontId="1" fillId="2" borderId="6" xfId="0" applyFont="1" applyFill="1" applyBorder="1" applyAlignment="1" applyProtection="1">
      <alignment horizontal="center"/>
    </xf>
    <xf numFmtId="1" fontId="1" fillId="2" borderId="6" xfId="0" applyNumberFormat="1" applyFont="1" applyFill="1" applyBorder="1" applyAlignment="1" applyProtection="1">
      <alignment horizontal="center"/>
    </xf>
    <xf numFmtId="1" fontId="1" fillId="3" borderId="29" xfId="0" applyNumberFormat="1" applyFont="1" applyFill="1" applyBorder="1" applyAlignment="1" applyProtection="1">
      <alignment horizontal="center"/>
    </xf>
    <xf numFmtId="0" fontId="0" fillId="0" borderId="0" xfId="0" applyFill="1" applyProtection="1"/>
    <xf numFmtId="0" fontId="2" fillId="0" borderId="12" xfId="0" applyFont="1" applyFill="1" applyBorder="1" applyAlignment="1" applyProtection="1">
      <alignment horizontal="left"/>
    </xf>
    <xf numFmtId="0" fontId="7" fillId="0" borderId="12" xfId="0" applyFont="1" applyFill="1" applyBorder="1" applyProtection="1"/>
    <xf numFmtId="2" fontId="1" fillId="0" borderId="0" xfId="0" applyNumberFormat="1" applyFont="1" applyFill="1" applyBorder="1" applyAlignment="1" applyProtection="1">
      <alignment horizontal="center"/>
    </xf>
    <xf numFmtId="0" fontId="1" fillId="0" borderId="0" xfId="0" applyFont="1" applyFill="1" applyAlignment="1" applyProtection="1">
      <alignment horizontal="centerContinuous"/>
    </xf>
    <xf numFmtId="1" fontId="1" fillId="0" borderId="0" xfId="0" applyNumberFormat="1" applyFont="1" applyFill="1" applyBorder="1" applyProtection="1"/>
    <xf numFmtId="1" fontId="2" fillId="0" borderId="0" xfId="0" applyNumberFormat="1" applyFont="1" applyFill="1" applyBorder="1" applyProtection="1"/>
    <xf numFmtId="2" fontId="1" fillId="2" borderId="6" xfId="0" applyNumberFormat="1" applyFont="1" applyFill="1" applyBorder="1" applyAlignment="1" applyProtection="1">
      <alignment horizontal="center"/>
    </xf>
    <xf numFmtId="1" fontId="1" fillId="3" borderId="6" xfId="0" applyNumberFormat="1" applyFont="1" applyFill="1" applyBorder="1" applyAlignment="1" applyProtection="1">
      <alignment horizontal="center"/>
    </xf>
    <xf numFmtId="2" fontId="1" fillId="3" borderId="6" xfId="0" applyNumberFormat="1" applyFont="1" applyFill="1" applyBorder="1" applyAlignment="1" applyProtection="1">
      <alignment horizontal="center"/>
    </xf>
    <xf numFmtId="0" fontId="1" fillId="0" borderId="0" xfId="0" applyFont="1" applyFill="1" applyAlignment="1">
      <alignment horizontal="center"/>
    </xf>
    <xf numFmtId="11" fontId="1" fillId="0" borderId="0" xfId="0" applyNumberFormat="1" applyFont="1" applyFill="1" applyAlignment="1">
      <alignment horizontal="center"/>
    </xf>
    <xf numFmtId="11" fontId="1" fillId="0" borderId="0" xfId="0" applyNumberFormat="1" applyFont="1" applyFill="1"/>
    <xf numFmtId="0" fontId="1" fillId="0" borderId="0" xfId="0" applyFont="1" applyFill="1"/>
    <xf numFmtId="11" fontId="2" fillId="0" borderId="30" xfId="0" applyNumberFormat="1" applyFont="1" applyFill="1" applyBorder="1" applyAlignment="1">
      <alignment horizontal="center" wrapText="1"/>
    </xf>
    <xf numFmtId="0" fontId="2" fillId="0" borderId="0" xfId="0" applyFont="1" applyFill="1" applyAlignment="1">
      <alignment wrapText="1"/>
    </xf>
    <xf numFmtId="0" fontId="2" fillId="0" borderId="0" xfId="0" applyFont="1" applyFill="1" applyAlignment="1">
      <alignment vertical="center"/>
    </xf>
    <xf numFmtId="0" fontId="4" fillId="0" borderId="0" xfId="0" applyFont="1" applyFill="1"/>
    <xf numFmtId="0" fontId="4" fillId="0" borderId="0" xfId="0" applyFont="1" applyFill="1" applyAlignment="1">
      <alignment horizontal="center"/>
    </xf>
    <xf numFmtId="166" fontId="4" fillId="0" borderId="0" xfId="0" applyNumberFormat="1" applyFont="1" applyFill="1" applyAlignment="1">
      <alignment horizontal="center"/>
    </xf>
    <xf numFmtId="11" fontId="4" fillId="0" borderId="0" xfId="0" applyNumberFormat="1" applyFont="1" applyFill="1" applyAlignment="1">
      <alignment horizontal="center"/>
    </xf>
    <xf numFmtId="11" fontId="4" fillId="0" borderId="0" xfId="0" applyNumberFormat="1" applyFont="1" applyFill="1"/>
    <xf numFmtId="0" fontId="1" fillId="0" borderId="0" xfId="0" applyFont="1" applyFill="1" applyBorder="1" applyAlignment="1">
      <alignment horizontal="left"/>
    </xf>
    <xf numFmtId="0" fontId="1" fillId="0" borderId="0" xfId="0" applyFont="1" applyFill="1" applyBorder="1"/>
    <xf numFmtId="11" fontId="1" fillId="2" borderId="31" xfId="0" applyNumberFormat="1" applyFont="1" applyFill="1" applyBorder="1" applyAlignment="1">
      <alignment horizontal="center"/>
    </xf>
    <xf numFmtId="11" fontId="1" fillId="2" borderId="32" xfId="0" applyNumberFormat="1" applyFont="1" applyFill="1" applyBorder="1" applyAlignment="1">
      <alignment horizontal="center"/>
    </xf>
    <xf numFmtId="11" fontId="1" fillId="2" borderId="28" xfId="0" applyNumberFormat="1" applyFont="1" applyFill="1" applyBorder="1" applyAlignment="1">
      <alignment horizontal="center"/>
    </xf>
    <xf numFmtId="0" fontId="1" fillId="0" borderId="1" xfId="0" applyFont="1" applyFill="1" applyBorder="1" applyAlignment="1" applyProtection="1">
      <alignment horizontal="left" vertical="center"/>
    </xf>
    <xf numFmtId="0" fontId="1" fillId="0" borderId="0" xfId="0" applyFont="1" applyFill="1" applyAlignment="1">
      <alignment vertical="center"/>
    </xf>
    <xf numFmtId="49" fontId="1" fillId="0" borderId="33" xfId="0" applyNumberFormat="1" applyFont="1" applyFill="1" applyBorder="1"/>
    <xf numFmtId="1" fontId="1" fillId="0" borderId="34" xfId="0" applyNumberFormat="1" applyFont="1" applyBorder="1" applyAlignment="1" applyProtection="1">
      <alignment horizontal="center"/>
    </xf>
    <xf numFmtId="1" fontId="1" fillId="2" borderId="34" xfId="0" applyNumberFormat="1" applyFont="1" applyFill="1" applyBorder="1" applyAlignment="1" applyProtection="1">
      <alignment horizontal="center"/>
    </xf>
    <xf numFmtId="1" fontId="1" fillId="0" borderId="34" xfId="0" applyNumberFormat="1" applyFont="1" applyFill="1" applyBorder="1" applyAlignment="1" applyProtection="1">
      <alignment horizontal="center"/>
    </xf>
    <xf numFmtId="1" fontId="1" fillId="0" borderId="34" xfId="0" applyNumberFormat="1" applyFont="1" applyBorder="1" applyAlignment="1">
      <alignment horizontal="center"/>
    </xf>
    <xf numFmtId="1" fontId="1" fillId="0" borderId="34" xfId="0" applyNumberFormat="1" applyFont="1" applyFill="1" applyBorder="1" applyAlignment="1">
      <alignment horizontal="center"/>
    </xf>
    <xf numFmtId="0" fontId="1" fillId="0" borderId="0" xfId="0" applyFont="1" applyFill="1" applyBorder="1" applyAlignment="1"/>
    <xf numFmtId="0" fontId="1" fillId="0" borderId="12" xfId="0" applyFont="1" applyFill="1" applyBorder="1" applyAlignment="1">
      <alignment horizontal="left"/>
    </xf>
    <xf numFmtId="0" fontId="4" fillId="0" borderId="0" xfId="0" applyFont="1" applyFill="1" applyBorder="1"/>
    <xf numFmtId="166" fontId="4" fillId="0" borderId="0" xfId="0" applyNumberFormat="1" applyFont="1" applyFill="1" applyBorder="1"/>
    <xf numFmtId="0" fontId="1" fillId="0" borderId="12" xfId="0" applyFont="1" applyFill="1" applyBorder="1"/>
    <xf numFmtId="1" fontId="1" fillId="2" borderId="34" xfId="0" applyNumberFormat="1" applyFont="1" applyFill="1" applyBorder="1" applyAlignment="1">
      <alignment horizontal="center"/>
    </xf>
    <xf numFmtId="0" fontId="4" fillId="0" borderId="0" xfId="0" applyFont="1" applyFill="1" applyBorder="1" applyAlignment="1">
      <alignment wrapText="1"/>
    </xf>
    <xf numFmtId="0" fontId="1" fillId="0" borderId="12" xfId="0" applyFont="1" applyFill="1" applyBorder="1" applyAlignment="1"/>
    <xf numFmtId="1" fontId="4" fillId="0" borderId="0" xfId="0" applyNumberFormat="1" applyFont="1" applyFill="1" applyBorder="1" applyAlignment="1"/>
    <xf numFmtId="0" fontId="4" fillId="0" borderId="0" xfId="0" applyFont="1" applyFill="1" applyBorder="1" applyAlignment="1"/>
    <xf numFmtId="166" fontId="4" fillId="0" borderId="0" xfId="0" applyNumberFormat="1" applyFont="1" applyFill="1" applyBorder="1" applyAlignment="1"/>
    <xf numFmtId="49" fontId="1" fillId="0" borderId="0" xfId="0" applyNumberFormat="1" applyFont="1" applyFill="1" applyBorder="1" applyAlignment="1"/>
    <xf numFmtId="49" fontId="2" fillId="0" borderId="0" xfId="0" applyNumberFormat="1" applyFont="1" applyFill="1" applyBorder="1" applyAlignment="1"/>
    <xf numFmtId="0" fontId="0" fillId="0" borderId="0" xfId="0" applyFill="1" applyBorder="1" applyAlignment="1"/>
    <xf numFmtId="11" fontId="4" fillId="0" borderId="0" xfId="0" applyNumberFormat="1" applyFont="1" applyFill="1" applyBorder="1"/>
    <xf numFmtId="1" fontId="1" fillId="0" borderId="0" xfId="0" applyNumberFormat="1" applyFont="1" applyFill="1" applyBorder="1"/>
    <xf numFmtId="1" fontId="16" fillId="0" borderId="0" xfId="0" applyNumberFormat="1" applyFont="1" applyFill="1" applyBorder="1"/>
    <xf numFmtId="1" fontId="1" fillId="0" borderId="0" xfId="0" applyNumberFormat="1" applyFont="1" applyFill="1" applyBorder="1" applyAlignment="1"/>
    <xf numFmtId="1" fontId="16" fillId="0" borderId="0" xfId="0" applyNumberFormat="1" applyFont="1" applyFill="1" applyBorder="1" applyAlignment="1"/>
    <xf numFmtId="49" fontId="1" fillId="0" borderId="0" xfId="0" applyNumberFormat="1" applyFont="1" applyFill="1" applyBorder="1" applyAlignment="1" applyProtection="1">
      <alignment horizontal="center"/>
    </xf>
    <xf numFmtId="49" fontId="4" fillId="0" borderId="0" xfId="0" applyNumberFormat="1" applyFont="1" applyFill="1" applyBorder="1"/>
    <xf numFmtId="0" fontId="2" fillId="0" borderId="0" xfId="0" applyFont="1" applyFill="1" applyProtection="1"/>
    <xf numFmtId="0" fontId="2" fillId="0" borderId="3" xfId="0" applyFont="1" applyBorder="1" applyAlignment="1" applyProtection="1">
      <alignment horizontal="centerContinuous" vertical="center"/>
    </xf>
    <xf numFmtId="49" fontId="1" fillId="0" borderId="35" xfId="0" applyNumberFormat="1" applyFont="1" applyFill="1" applyBorder="1" applyAlignment="1">
      <alignment horizontal="center"/>
    </xf>
    <xf numFmtId="49" fontId="1" fillId="0" borderId="36" xfId="0" applyNumberFormat="1" applyFont="1" applyFill="1" applyBorder="1" applyAlignment="1">
      <alignment horizontal="center"/>
    </xf>
    <xf numFmtId="11" fontId="5" fillId="0" borderId="36" xfId="0" applyNumberFormat="1" applyFont="1" applyBorder="1" applyAlignment="1" applyProtection="1">
      <alignment horizontal="center" vertical="center" textRotation="90"/>
    </xf>
    <xf numFmtId="49" fontId="1" fillId="0" borderId="37" xfId="0" applyNumberFormat="1" applyFont="1" applyFill="1" applyBorder="1" applyAlignment="1">
      <alignment horizontal="center"/>
    </xf>
    <xf numFmtId="49" fontId="1" fillId="0" borderId="38" xfId="0" applyNumberFormat="1" applyFont="1" applyFill="1" applyBorder="1" applyAlignment="1">
      <alignment horizontal="center"/>
    </xf>
    <xf numFmtId="11" fontId="9" fillId="2" borderId="31" xfId="0" applyNumberFormat="1" applyFont="1" applyFill="1" applyBorder="1" applyAlignment="1">
      <alignment horizontal="center"/>
    </xf>
    <xf numFmtId="11" fontId="9" fillId="2" borderId="28" xfId="0" applyNumberFormat="1" applyFont="1" applyFill="1" applyBorder="1" applyAlignment="1">
      <alignment horizontal="center"/>
    </xf>
    <xf numFmtId="0" fontId="3" fillId="0" borderId="0" xfId="0" applyFont="1" applyFill="1" applyAlignment="1" applyProtection="1">
      <alignment horizontal="centerContinuous" wrapText="1"/>
    </xf>
    <xf numFmtId="49" fontId="2" fillId="0" borderId="0" xfId="0" applyNumberFormat="1" applyFont="1" applyFill="1" applyAlignment="1">
      <alignment horizontal="centerContinuous" vertical="center"/>
    </xf>
    <xf numFmtId="49" fontId="1" fillId="0" borderId="0" xfId="0" applyNumberFormat="1" applyFont="1" applyFill="1" applyAlignment="1">
      <alignment horizontal="left"/>
    </xf>
    <xf numFmtId="49" fontId="1" fillId="0" borderId="39" xfId="0" applyNumberFormat="1" applyFont="1" applyFill="1" applyBorder="1" applyAlignment="1">
      <alignment horizontal="center"/>
    </xf>
    <xf numFmtId="1" fontId="1" fillId="2" borderId="40" xfId="0" applyNumberFormat="1" applyFont="1" applyFill="1" applyBorder="1" applyAlignment="1" applyProtection="1">
      <alignment horizontal="center"/>
    </xf>
    <xf numFmtId="49" fontId="1" fillId="0" borderId="41" xfId="0" applyNumberFormat="1" applyFont="1" applyFill="1" applyBorder="1" applyAlignment="1">
      <alignment horizontal="left"/>
    </xf>
    <xf numFmtId="49" fontId="1" fillId="0" borderId="42" xfId="0" applyNumberFormat="1" applyFont="1" applyFill="1" applyBorder="1" applyAlignment="1">
      <alignment horizontal="center"/>
    </xf>
    <xf numFmtId="1" fontId="1" fillId="0" borderId="43" xfId="0" applyNumberFormat="1" applyFont="1" applyBorder="1" applyAlignment="1" applyProtection="1">
      <alignment horizontal="center"/>
    </xf>
    <xf numFmtId="49" fontId="1" fillId="0" borderId="44" xfId="0" applyNumberFormat="1" applyFont="1" applyFill="1" applyBorder="1" applyAlignment="1">
      <alignment horizontal="left"/>
    </xf>
    <xf numFmtId="1" fontId="1" fillId="2" borderId="43" xfId="0" applyNumberFormat="1" applyFont="1" applyFill="1" applyBorder="1" applyAlignment="1" applyProtection="1">
      <alignment horizontal="center"/>
    </xf>
    <xf numFmtId="1" fontId="1" fillId="0" borderId="43" xfId="0" applyNumberFormat="1" applyFont="1" applyFill="1" applyBorder="1" applyAlignment="1" applyProtection="1">
      <alignment horizontal="center"/>
    </xf>
    <xf numFmtId="1" fontId="1" fillId="0" borderId="43" xfId="0" applyNumberFormat="1" applyFont="1" applyBorder="1" applyAlignment="1">
      <alignment horizontal="center"/>
    </xf>
    <xf numFmtId="49" fontId="1" fillId="0" borderId="44" xfId="0" applyNumberFormat="1" applyFont="1" applyFill="1" applyBorder="1" applyAlignment="1">
      <alignment horizontal="left" wrapText="1"/>
    </xf>
    <xf numFmtId="166" fontId="1" fillId="0" borderId="44" xfId="0" applyNumberFormat="1" applyFont="1" applyFill="1" applyBorder="1" applyAlignment="1">
      <alignment horizontal="left"/>
    </xf>
    <xf numFmtId="49" fontId="1" fillId="0" borderId="44" xfId="0" applyNumberFormat="1" applyFont="1" applyFill="1" applyBorder="1" applyAlignment="1">
      <alignment horizontal="center"/>
    </xf>
    <xf numFmtId="49" fontId="1" fillId="0" borderId="45" xfId="0" applyNumberFormat="1" applyFont="1" applyFill="1" applyBorder="1" applyAlignment="1">
      <alignment horizontal="center"/>
    </xf>
    <xf numFmtId="1" fontId="1" fillId="0" borderId="46" xfId="0" applyNumberFormat="1" applyFont="1" applyFill="1" applyBorder="1" applyAlignment="1" applyProtection="1">
      <alignment horizontal="center"/>
    </xf>
    <xf numFmtId="49" fontId="1" fillId="0" borderId="47" xfId="0" applyNumberFormat="1" applyFont="1" applyFill="1" applyBorder="1" applyAlignment="1">
      <alignment horizontal="left" wrapText="1"/>
    </xf>
    <xf numFmtId="49" fontId="1" fillId="0" borderId="6" xfId="0" applyNumberFormat="1" applyFont="1" applyFill="1" applyBorder="1" applyAlignment="1">
      <alignment horizontal="left"/>
    </xf>
    <xf numFmtId="0" fontId="1" fillId="0" borderId="12" xfId="0" applyFont="1" applyFill="1" applyBorder="1" applyAlignment="1" applyProtection="1">
      <alignment horizontal="left"/>
    </xf>
    <xf numFmtId="0" fontId="4" fillId="0" borderId="6" xfId="0" applyFont="1" applyFill="1" applyBorder="1" applyAlignment="1">
      <alignment horizontal="left"/>
    </xf>
    <xf numFmtId="0" fontId="4" fillId="0" borderId="12" xfId="0" applyFont="1" applyBorder="1" applyAlignment="1">
      <alignment horizontal="left"/>
    </xf>
    <xf numFmtId="0" fontId="4" fillId="0" borderId="48" xfId="0" applyFont="1" applyFill="1" applyBorder="1" applyAlignment="1">
      <alignment horizontal="left"/>
    </xf>
    <xf numFmtId="0" fontId="4" fillId="0" borderId="0" xfId="0" applyFont="1" applyFill="1" applyAlignment="1">
      <alignment horizontal="left"/>
    </xf>
    <xf numFmtId="0" fontId="4" fillId="0" borderId="0" xfId="0" applyFont="1" applyFill="1" applyProtection="1"/>
    <xf numFmtId="0" fontId="17" fillId="0" borderId="0" xfId="0" applyFont="1" applyFill="1" applyAlignment="1" applyProtection="1">
      <alignment horizontal="centerContinuous"/>
    </xf>
    <xf numFmtId="0" fontId="4" fillId="0" borderId="0" xfId="0" applyFont="1" applyFill="1" applyAlignment="1" applyProtection="1">
      <alignment horizontal="centerContinuous"/>
    </xf>
    <xf numFmtId="0" fontId="1" fillId="0" borderId="0" xfId="0" applyFont="1" applyProtection="1"/>
    <xf numFmtId="49" fontId="11" fillId="0" borderId="0" xfId="0" applyNumberFormat="1" applyFont="1" applyFill="1" applyAlignment="1">
      <alignment horizontal="centerContinuous"/>
    </xf>
    <xf numFmtId="0" fontId="11" fillId="0" borderId="0" xfId="0" applyFont="1" applyAlignment="1" applyProtection="1">
      <alignment horizontal="left"/>
    </xf>
    <xf numFmtId="0" fontId="4" fillId="0" borderId="0" xfId="0" applyFont="1" applyProtection="1"/>
    <xf numFmtId="0" fontId="0" fillId="0" borderId="0" xfId="0" applyFill="1" applyBorder="1" applyAlignment="1">
      <alignment wrapText="1"/>
    </xf>
    <xf numFmtId="0" fontId="11" fillId="4" borderId="0" xfId="0" applyNumberFormat="1" applyFont="1" applyFill="1" applyBorder="1" applyAlignment="1" applyProtection="1">
      <alignment horizontal="centerContinuous" vertical="center"/>
      <protection hidden="1"/>
    </xf>
    <xf numFmtId="0" fontId="4" fillId="4" borderId="0" xfId="0" applyFont="1" applyFill="1" applyBorder="1" applyAlignment="1" applyProtection="1">
      <alignment horizontal="centerContinuous"/>
    </xf>
    <xf numFmtId="0" fontId="4" fillId="4" borderId="0" xfId="0" applyFont="1" applyFill="1" applyAlignment="1" applyProtection="1">
      <alignment horizontal="centerContinuous"/>
    </xf>
    <xf numFmtId="0" fontId="1" fillId="4" borderId="0" xfId="0" applyFont="1" applyFill="1" applyAlignment="1" applyProtection="1">
      <alignment horizontal="centerContinuous"/>
    </xf>
    <xf numFmtId="0" fontId="1" fillId="0" borderId="0" xfId="0" applyFont="1" applyFill="1" applyBorder="1" applyAlignment="1" applyProtection="1">
      <alignment horizontal="centerContinuous"/>
    </xf>
    <xf numFmtId="0" fontId="4" fillId="0" borderId="0" xfId="0" applyFont="1" applyFill="1" applyBorder="1" applyProtection="1"/>
    <xf numFmtId="0" fontId="11" fillId="2" borderId="49" xfId="0" applyFont="1" applyFill="1" applyBorder="1" applyAlignment="1" applyProtection="1">
      <alignment horizontal="left"/>
    </xf>
    <xf numFmtId="0" fontId="11" fillId="0" borderId="0" xfId="0" applyFont="1" applyFill="1" applyBorder="1" applyAlignment="1" applyProtection="1">
      <alignment horizontal="left"/>
    </xf>
    <xf numFmtId="0" fontId="4" fillId="0" borderId="0" xfId="0" applyFont="1" applyFill="1" applyBorder="1" applyAlignment="1" applyProtection="1">
      <alignment horizontal="center" wrapText="1"/>
    </xf>
    <xf numFmtId="0" fontId="4" fillId="0" borderId="0" xfId="0" applyFont="1" applyFill="1" applyBorder="1" applyAlignment="1">
      <alignment horizontal="center" wrapText="1"/>
    </xf>
    <xf numFmtId="0" fontId="11" fillId="2" borderId="50" xfId="0" applyFont="1" applyFill="1" applyBorder="1" applyAlignment="1" applyProtection="1">
      <alignment horizontal="left"/>
    </xf>
    <xf numFmtId="0" fontId="11" fillId="2" borderId="22" xfId="0" applyFont="1" applyFill="1" applyBorder="1" applyAlignment="1" applyProtection="1">
      <alignment horizontal="left"/>
    </xf>
    <xf numFmtId="0" fontId="11" fillId="2" borderId="51" xfId="0" applyFont="1" applyFill="1" applyBorder="1" applyAlignment="1" applyProtection="1">
      <alignment horizontal="center"/>
    </xf>
    <xf numFmtId="0" fontId="11" fillId="5" borderId="52" xfId="0" applyFont="1" applyFill="1" applyBorder="1" applyAlignment="1" applyProtection="1">
      <alignment horizontal="center"/>
    </xf>
    <xf numFmtId="0" fontId="4" fillId="2" borderId="12" xfId="0" applyFont="1" applyFill="1" applyBorder="1" applyProtection="1"/>
    <xf numFmtId="164" fontId="4" fillId="2" borderId="53" xfId="0" applyNumberFormat="1" applyFont="1" applyFill="1" applyBorder="1" applyAlignment="1" applyProtection="1">
      <alignment horizontal="center"/>
      <protection locked="0"/>
    </xf>
    <xf numFmtId="167" fontId="4" fillId="5" borderId="54" xfId="0" applyNumberFormat="1" applyFont="1" applyFill="1" applyBorder="1" applyAlignment="1" applyProtection="1">
      <alignment horizontal="center"/>
      <protection locked="0"/>
    </xf>
    <xf numFmtId="2" fontId="4" fillId="2" borderId="53" xfId="0" applyNumberFormat="1" applyFont="1" applyFill="1" applyBorder="1" applyAlignment="1" applyProtection="1">
      <alignment horizontal="center"/>
      <protection locked="0"/>
    </xf>
    <xf numFmtId="0" fontId="4" fillId="0" borderId="0" xfId="0" applyFont="1" applyFill="1" applyAlignment="1" applyProtection="1">
      <alignment horizontal="left"/>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left"/>
      <protection hidden="1"/>
    </xf>
    <xf numFmtId="165" fontId="4" fillId="2" borderId="55" xfId="0" applyNumberFormat="1" applyFont="1" applyFill="1" applyBorder="1" applyAlignment="1" applyProtection="1">
      <alignment horizontal="center"/>
      <protection locked="0"/>
    </xf>
    <xf numFmtId="164" fontId="4" fillId="0" borderId="0" xfId="0" applyNumberFormat="1" applyFont="1" applyFill="1" applyBorder="1" applyAlignment="1" applyProtection="1">
      <alignment horizontal="center"/>
      <protection locked="0"/>
    </xf>
    <xf numFmtId="0" fontId="4" fillId="0" borderId="0" xfId="0" applyFont="1" applyAlignment="1" applyProtection="1">
      <alignment horizontal="center"/>
    </xf>
    <xf numFmtId="11" fontId="1" fillId="0" borderId="0" xfId="0" applyNumberFormat="1" applyFont="1" applyFill="1" applyBorder="1" applyProtection="1"/>
    <xf numFmtId="0" fontId="16" fillId="0" borderId="0" xfId="0" applyFont="1" applyFill="1" applyBorder="1" applyAlignment="1">
      <alignment wrapText="1"/>
    </xf>
    <xf numFmtId="0" fontId="14" fillId="0" borderId="0" xfId="0" applyFont="1"/>
    <xf numFmtId="0" fontId="1" fillId="4" borderId="0" xfId="0" applyFont="1" applyFill="1" applyBorder="1" applyProtection="1"/>
    <xf numFmtId="0" fontId="1" fillId="4" borderId="0" xfId="0" applyFont="1" applyFill="1" applyProtection="1"/>
    <xf numFmtId="0" fontId="1" fillId="4" borderId="0" xfId="0" applyFont="1" applyFill="1" applyBorder="1" applyAlignment="1" applyProtection="1">
      <alignment horizontal="center"/>
    </xf>
    <xf numFmtId="164" fontId="1" fillId="0" borderId="0" xfId="0" applyNumberFormat="1" applyFont="1" applyFill="1" applyBorder="1" applyAlignment="1" applyProtection="1">
      <alignment horizontal="center"/>
      <protection locked="0"/>
    </xf>
    <xf numFmtId="0" fontId="1" fillId="0" borderId="0" xfId="0" applyFont="1" applyProtection="1">
      <protection locked="0"/>
    </xf>
    <xf numFmtId="0" fontId="4" fillId="0" borderId="0" xfId="0" applyFont="1" applyFill="1" applyBorder="1" applyAlignment="1" applyProtection="1">
      <alignment horizontal="right"/>
    </xf>
    <xf numFmtId="164" fontId="4" fillId="0" borderId="28" xfId="0" applyNumberFormat="1" applyFont="1" applyFill="1" applyBorder="1" applyAlignment="1" applyProtection="1">
      <alignment horizontal="center"/>
      <protection locked="0"/>
    </xf>
    <xf numFmtId="0" fontId="4" fillId="0" borderId="0" xfId="0" applyFont="1" applyAlignment="1" applyProtection="1">
      <alignment horizontal="right"/>
      <protection locked="0"/>
    </xf>
    <xf numFmtId="0" fontId="4" fillId="0" borderId="28" xfId="0" applyFont="1" applyBorder="1" applyProtection="1">
      <protection locked="0"/>
    </xf>
    <xf numFmtId="0" fontId="4" fillId="0" borderId="0" xfId="0" applyFont="1" applyFill="1" applyBorder="1" applyProtection="1">
      <protection locked="0"/>
    </xf>
    <xf numFmtId="0" fontId="4" fillId="0" borderId="0" xfId="0" applyFont="1" applyProtection="1">
      <protection locked="0"/>
    </xf>
    <xf numFmtId="0" fontId="4" fillId="0" borderId="0" xfId="0" applyFont="1" applyFill="1" applyBorder="1" applyAlignment="1" applyProtection="1">
      <alignment horizontal="right"/>
      <protection locked="0"/>
    </xf>
    <xf numFmtId="0" fontId="4" fillId="0" borderId="28" xfId="0" applyFont="1" applyFill="1" applyBorder="1" applyAlignment="1" applyProtection="1">
      <alignment horizontal="left"/>
      <protection locked="0"/>
    </xf>
    <xf numFmtId="2" fontId="4" fillId="0" borderId="0" xfId="0" applyNumberFormat="1" applyFont="1" applyFill="1" applyBorder="1" applyAlignment="1" applyProtection="1">
      <alignment horizontal="right"/>
      <protection locked="0"/>
    </xf>
    <xf numFmtId="49" fontId="4" fillId="0" borderId="0" xfId="0" applyNumberFormat="1" applyFont="1" applyFill="1" applyBorder="1" applyProtection="1">
      <protection locked="0"/>
    </xf>
    <xf numFmtId="49" fontId="4" fillId="0" borderId="0" xfId="0" applyNumberFormat="1" applyFont="1" applyBorder="1" applyProtection="1">
      <protection locked="0"/>
    </xf>
    <xf numFmtId="2" fontId="4" fillId="0" borderId="0" xfId="0" applyNumberFormat="1" applyFont="1" applyFill="1" applyBorder="1" applyAlignment="1" applyProtection="1">
      <alignment horizontal="center"/>
      <protection locked="0"/>
    </xf>
    <xf numFmtId="0" fontId="4" fillId="0" borderId="0" xfId="0" applyFont="1" applyFill="1" applyBorder="1" applyAlignment="1" applyProtection="1">
      <alignment horizontal="center"/>
      <protection locked="0"/>
    </xf>
    <xf numFmtId="0" fontId="4" fillId="0" borderId="0" xfId="0" applyFont="1" applyBorder="1" applyProtection="1">
      <protection locked="0"/>
    </xf>
    <xf numFmtId="2" fontId="1" fillId="4" borderId="0" xfId="0" applyNumberFormat="1" applyFont="1" applyFill="1" applyAlignment="1" applyProtection="1">
      <alignment horizontal="center"/>
    </xf>
    <xf numFmtId="0" fontId="11" fillId="0" borderId="0" xfId="0" applyFont="1" applyProtection="1"/>
    <xf numFmtId="0" fontId="4" fillId="0" borderId="0" xfId="0" applyFont="1" applyFill="1" applyAlignment="1" applyProtection="1">
      <alignment wrapText="1"/>
    </xf>
    <xf numFmtId="0" fontId="4" fillId="0" borderId="0" xfId="0" applyFont="1" applyFill="1" applyProtection="1">
      <protection locked="0"/>
    </xf>
    <xf numFmtId="0" fontId="11" fillId="0" borderId="0" xfId="0" applyNumberFormat="1" applyFont="1" applyProtection="1">
      <protection hidden="1"/>
    </xf>
    <xf numFmtId="0" fontId="4" fillId="0" borderId="0" xfId="0" applyNumberFormat="1" applyFont="1" applyAlignment="1" applyProtection="1">
      <alignment horizontal="center"/>
      <protection hidden="1"/>
    </xf>
    <xf numFmtId="0" fontId="4" fillId="0" borderId="0" xfId="0" applyNumberFormat="1" applyFont="1" applyProtection="1">
      <protection hidden="1"/>
    </xf>
    <xf numFmtId="0" fontId="4" fillId="0" borderId="0" xfId="0" applyNumberFormat="1" applyFont="1" applyFill="1" applyAlignment="1" applyProtection="1">
      <alignment horizontal="center"/>
      <protection hidden="1"/>
    </xf>
    <xf numFmtId="0" fontId="4" fillId="0" borderId="0" xfId="0" applyFont="1" applyFill="1" applyAlignment="1">
      <alignment wrapText="1"/>
    </xf>
    <xf numFmtId="0" fontId="1" fillId="0" borderId="0" xfId="0" applyFont="1" applyFill="1" applyProtection="1">
      <protection locked="0"/>
    </xf>
    <xf numFmtId="0" fontId="4" fillId="5" borderId="54" xfId="0" applyFont="1" applyFill="1" applyBorder="1" applyAlignment="1" applyProtection="1">
      <alignment horizontal="center"/>
      <protection locked="0"/>
    </xf>
    <xf numFmtId="0" fontId="4" fillId="5" borderId="54" xfId="0" applyFont="1" applyFill="1" applyBorder="1" applyAlignment="1" applyProtection="1">
      <alignment horizontal="center"/>
    </xf>
    <xf numFmtId="0" fontId="11" fillId="2" borderId="21" xfId="0" applyFont="1" applyFill="1" applyBorder="1" applyAlignment="1" applyProtection="1">
      <alignment horizontal="center"/>
    </xf>
    <xf numFmtId="0" fontId="11" fillId="0" borderId="0" xfId="0" applyFont="1" applyFill="1" applyAlignment="1" applyProtection="1">
      <alignment horizontal="centerContinuous"/>
    </xf>
    <xf numFmtId="0" fontId="11" fillId="0" borderId="0" xfId="0" applyFont="1" applyAlignment="1" applyProtection="1">
      <alignment horizontal="centerContinuous"/>
    </xf>
    <xf numFmtId="0" fontId="4" fillId="0" borderId="0" xfId="0" applyFont="1" applyAlignment="1" applyProtection="1">
      <alignment horizontal="centerContinuous"/>
    </xf>
    <xf numFmtId="0" fontId="0" fillId="0" borderId="0" xfId="0" applyFill="1" applyAlignment="1" applyProtection="1">
      <alignment horizontal="centerContinuous"/>
    </xf>
    <xf numFmtId="2" fontId="4" fillId="5" borderId="54" xfId="0" applyNumberFormat="1" applyFont="1" applyFill="1" applyBorder="1" applyAlignment="1" applyProtection="1">
      <alignment horizontal="center"/>
    </xf>
    <xf numFmtId="165" fontId="4" fillId="5" borderId="56" xfId="0" applyNumberFormat="1" applyFont="1" applyFill="1" applyBorder="1" applyAlignment="1" applyProtection="1">
      <alignment horizontal="center"/>
    </xf>
    <xf numFmtId="11" fontId="1" fillId="3" borderId="57" xfId="0" applyNumberFormat="1" applyFont="1" applyFill="1" applyBorder="1" applyAlignment="1">
      <alignment horizontal="left"/>
    </xf>
    <xf numFmtId="11" fontId="1" fillId="3" borderId="57" xfId="0" applyNumberFormat="1" applyFont="1" applyFill="1" applyBorder="1" applyAlignment="1">
      <alignment horizontal="left" wrapText="1"/>
    </xf>
    <xf numFmtId="0" fontId="2" fillId="0" borderId="3" xfId="0" applyFont="1" applyFill="1" applyBorder="1" applyAlignment="1" applyProtection="1">
      <alignment horizontal="left" vertical="center"/>
    </xf>
    <xf numFmtId="0" fontId="2" fillId="0" borderId="3"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2" fillId="5" borderId="22" xfId="0" applyFont="1" applyFill="1" applyBorder="1" applyAlignment="1" applyProtection="1">
      <alignment horizontal="left" vertical="center"/>
    </xf>
    <xf numFmtId="0" fontId="1" fillId="5" borderId="27" xfId="0" applyFont="1" applyFill="1" applyBorder="1" applyAlignment="1" applyProtection="1">
      <alignment horizontal="left"/>
    </xf>
    <xf numFmtId="0" fontId="1" fillId="5" borderId="58" xfId="0" applyFont="1" applyFill="1" applyBorder="1" applyAlignment="1" applyProtection="1">
      <alignment horizontal="center" wrapText="1"/>
    </xf>
    <xf numFmtId="0" fontId="1" fillId="5" borderId="1" xfId="0" applyFont="1" applyFill="1" applyBorder="1" applyAlignment="1" applyProtection="1">
      <alignment horizontal="left"/>
    </xf>
    <xf numFmtId="0" fontId="1" fillId="5" borderId="8" xfId="0" applyFont="1" applyFill="1" applyBorder="1" applyAlignment="1">
      <alignment horizontal="center" vertical="center" wrapText="1"/>
    </xf>
    <xf numFmtId="0" fontId="1" fillId="5" borderId="1" xfId="0" applyFont="1" applyFill="1" applyBorder="1" applyAlignment="1">
      <alignment horizontal="left" wrapText="1"/>
    </xf>
    <xf numFmtId="166" fontId="1" fillId="5" borderId="1" xfId="0" applyNumberFormat="1" applyFont="1" applyFill="1" applyBorder="1" applyAlignment="1">
      <alignment horizontal="left" wrapText="1"/>
    </xf>
    <xf numFmtId="11" fontId="1" fillId="5" borderId="1" xfId="0" applyNumberFormat="1" applyFont="1" applyFill="1" applyBorder="1" applyAlignment="1">
      <alignment horizontal="left" wrapText="1"/>
    </xf>
    <xf numFmtId="11" fontId="2" fillId="5" borderId="1" xfId="0" applyNumberFormat="1" applyFont="1" applyFill="1" applyBorder="1" applyAlignment="1">
      <alignment horizontal="left"/>
    </xf>
    <xf numFmtId="11" fontId="1" fillId="5" borderId="59" xfId="0" applyNumberFormat="1" applyFont="1" applyFill="1" applyBorder="1" applyAlignment="1">
      <alignment horizontal="left" wrapText="1"/>
    </xf>
    <xf numFmtId="2" fontId="3" fillId="0" borderId="5" xfId="0" applyNumberFormat="1" applyFont="1" applyFill="1" applyBorder="1" applyAlignment="1" applyProtection="1">
      <alignment horizontal="centerContinuous" vertical="center"/>
    </xf>
    <xf numFmtId="0" fontId="2" fillId="0" borderId="5" xfId="0" applyFont="1" applyFill="1" applyBorder="1" applyAlignment="1" applyProtection="1">
      <alignment horizontal="centerContinuous" vertical="center"/>
    </xf>
    <xf numFmtId="0" fontId="2" fillId="5" borderId="21" xfId="0" applyFont="1" applyFill="1" applyBorder="1" applyAlignment="1" applyProtection="1">
      <alignment horizontal="center" vertical="center" wrapText="1"/>
    </xf>
    <xf numFmtId="0" fontId="1" fillId="5" borderId="23" xfId="0" applyFont="1" applyFill="1" applyBorder="1" applyAlignment="1">
      <alignment horizontal="center" vertical="center" wrapText="1"/>
    </xf>
    <xf numFmtId="11" fontId="1" fillId="3" borderId="60" xfId="0" applyNumberFormat="1" applyFont="1" applyFill="1" applyBorder="1" applyAlignment="1">
      <alignment horizontal="left" wrapText="1"/>
    </xf>
    <xf numFmtId="0" fontId="1" fillId="3" borderId="61" xfId="0" applyFont="1" applyFill="1" applyBorder="1" applyAlignment="1" applyProtection="1">
      <alignment horizontal="center" vertical="center" wrapText="1"/>
    </xf>
    <xf numFmtId="11" fontId="2" fillId="3" borderId="62" xfId="0" applyNumberFormat="1" applyFont="1" applyFill="1" applyBorder="1" applyAlignment="1">
      <alignment horizontal="left" wrapText="1"/>
    </xf>
    <xf numFmtId="0" fontId="2" fillId="3" borderId="63" xfId="0" applyFont="1" applyFill="1" applyBorder="1" applyAlignment="1" applyProtection="1">
      <alignment horizontal="center" vertical="center" wrapText="1"/>
    </xf>
    <xf numFmtId="11" fontId="1" fillId="6" borderId="57" xfId="0" applyNumberFormat="1" applyFont="1" applyFill="1" applyBorder="1" applyAlignment="1">
      <alignment horizontal="left"/>
    </xf>
    <xf numFmtId="0" fontId="1" fillId="6" borderId="7" xfId="0" applyFont="1" applyFill="1" applyBorder="1" applyAlignment="1" applyProtection="1">
      <alignment horizontal="center" vertical="center" wrapText="1"/>
    </xf>
    <xf numFmtId="11" fontId="1" fillId="6" borderId="57" xfId="0" applyNumberFormat="1" applyFont="1" applyFill="1" applyBorder="1" applyAlignment="1">
      <alignment horizontal="left" wrapText="1"/>
    </xf>
    <xf numFmtId="11" fontId="1" fillId="7" borderId="57" xfId="0" applyNumberFormat="1" applyFont="1" applyFill="1" applyBorder="1" applyAlignment="1">
      <alignment horizontal="left"/>
    </xf>
    <xf numFmtId="0" fontId="1" fillId="7" borderId="7" xfId="0" applyFont="1" applyFill="1" applyBorder="1" applyAlignment="1" applyProtection="1">
      <alignment horizontal="center" vertical="center" wrapText="1"/>
    </xf>
    <xf numFmtId="11" fontId="1" fillId="7" borderId="57" xfId="0" applyNumberFormat="1" applyFont="1" applyFill="1" applyBorder="1" applyAlignment="1">
      <alignment horizontal="left" wrapText="1"/>
    </xf>
    <xf numFmtId="11" fontId="1" fillId="6" borderId="60" xfId="0" applyNumberFormat="1" applyFont="1" applyFill="1" applyBorder="1" applyAlignment="1">
      <alignment horizontal="left" wrapText="1"/>
    </xf>
    <xf numFmtId="0" fontId="1" fillId="6" borderId="61" xfId="0" applyFont="1" applyFill="1" applyBorder="1" applyAlignment="1" applyProtection="1">
      <alignment horizontal="center" vertical="center" wrapText="1"/>
    </xf>
    <xf numFmtId="11" fontId="2" fillId="6" borderId="62" xfId="0" applyNumberFormat="1" applyFont="1" applyFill="1" applyBorder="1" applyAlignment="1">
      <alignment horizontal="left" wrapText="1"/>
    </xf>
    <xf numFmtId="0" fontId="2" fillId="6" borderId="63" xfId="0" applyFont="1" applyFill="1" applyBorder="1" applyAlignment="1" applyProtection="1">
      <alignment horizontal="center" vertical="center" wrapText="1"/>
    </xf>
    <xf numFmtId="11" fontId="1" fillId="7" borderId="60" xfId="0" applyNumberFormat="1" applyFont="1" applyFill="1" applyBorder="1" applyAlignment="1">
      <alignment horizontal="left" wrapText="1"/>
    </xf>
    <xf numFmtId="0" fontId="1" fillId="7" borderId="61" xfId="0" applyFont="1" applyFill="1" applyBorder="1" applyAlignment="1" applyProtection="1">
      <alignment horizontal="center" vertical="center" wrapText="1"/>
    </xf>
    <xf numFmtId="11" fontId="2" fillId="7" borderId="62" xfId="0" applyNumberFormat="1" applyFont="1" applyFill="1" applyBorder="1" applyAlignment="1">
      <alignment horizontal="left" wrapText="1"/>
    </xf>
    <xf numFmtId="0" fontId="2" fillId="7" borderId="63" xfId="0" applyFont="1" applyFill="1" applyBorder="1" applyAlignment="1" applyProtection="1">
      <alignment horizontal="center" vertical="center" wrapText="1"/>
    </xf>
    <xf numFmtId="11" fontId="2" fillId="7" borderId="64" xfId="0" applyNumberFormat="1" applyFont="1" applyFill="1" applyBorder="1" applyAlignment="1">
      <alignment horizontal="centerContinuous"/>
    </xf>
    <xf numFmtId="0" fontId="2" fillId="7" borderId="65" xfId="0" applyFont="1" applyFill="1" applyBorder="1" applyAlignment="1" applyProtection="1">
      <alignment horizontal="centerContinuous" vertical="center" wrapText="1"/>
    </xf>
    <xf numFmtId="0" fontId="1" fillId="7" borderId="52" xfId="0" applyFont="1" applyFill="1" applyBorder="1" applyAlignment="1">
      <alignment horizontal="centerContinuous" vertical="center" wrapText="1"/>
    </xf>
    <xf numFmtId="11" fontId="2" fillId="6" borderId="64" xfId="0" applyNumberFormat="1" applyFont="1" applyFill="1" applyBorder="1" applyAlignment="1">
      <alignment horizontal="centerContinuous"/>
    </xf>
    <xf numFmtId="0" fontId="2" fillId="6" borderId="65" xfId="0" applyFont="1" applyFill="1" applyBorder="1" applyAlignment="1" applyProtection="1">
      <alignment horizontal="centerContinuous" vertical="center" wrapText="1"/>
    </xf>
    <xf numFmtId="0" fontId="1" fillId="6" borderId="52" xfId="0" applyFont="1" applyFill="1" applyBorder="1" applyAlignment="1">
      <alignment horizontal="centerContinuous" vertical="center" wrapText="1"/>
    </xf>
    <xf numFmtId="11" fontId="2" fillId="3" borderId="64" xfId="0" applyNumberFormat="1" applyFont="1" applyFill="1" applyBorder="1" applyAlignment="1">
      <alignment horizontal="centerContinuous"/>
    </xf>
    <xf numFmtId="0" fontId="2" fillId="3" borderId="65" xfId="0" applyFont="1" applyFill="1" applyBorder="1" applyAlignment="1" applyProtection="1">
      <alignment horizontal="centerContinuous" vertical="center" wrapText="1"/>
    </xf>
    <xf numFmtId="0" fontId="1" fillId="3" borderId="52" xfId="0" applyFont="1" applyFill="1" applyBorder="1" applyAlignment="1">
      <alignment horizontal="centerContinuous" vertical="center" wrapText="1"/>
    </xf>
    <xf numFmtId="166" fontId="1" fillId="5" borderId="8" xfId="0" applyNumberFormat="1" applyFont="1" applyFill="1" applyBorder="1" applyAlignment="1">
      <alignment horizontal="center" vertical="center" wrapText="1"/>
    </xf>
    <xf numFmtId="11" fontId="1" fillId="5" borderId="8" xfId="0" applyNumberFormat="1" applyFont="1" applyFill="1" applyBorder="1" applyAlignment="1">
      <alignment horizontal="center" vertical="center" wrapText="1"/>
    </xf>
    <xf numFmtId="0" fontId="1" fillId="5" borderId="66" xfId="0" applyFont="1" applyFill="1" applyBorder="1" applyAlignment="1" applyProtection="1">
      <alignment horizontal="left"/>
    </xf>
    <xf numFmtId="166" fontId="1" fillId="5" borderId="67" xfId="0" applyNumberFormat="1" applyFont="1" applyFill="1" applyBorder="1" applyAlignment="1">
      <alignment horizontal="center" vertical="center" wrapText="1"/>
    </xf>
    <xf numFmtId="0" fontId="2" fillId="5" borderId="33" xfId="0" applyFont="1" applyFill="1" applyBorder="1" applyAlignment="1" applyProtection="1">
      <alignment horizontal="left"/>
    </xf>
    <xf numFmtId="0" fontId="1" fillId="5" borderId="68" xfId="0" applyFont="1" applyFill="1" applyBorder="1" applyAlignment="1">
      <alignment horizontal="center" vertical="center" wrapText="1"/>
    </xf>
    <xf numFmtId="0" fontId="1" fillId="5" borderId="34" xfId="0" applyFont="1" applyFill="1" applyBorder="1" applyAlignment="1">
      <alignment vertical="center"/>
    </xf>
    <xf numFmtId="0" fontId="1" fillId="5" borderId="7" xfId="0" applyFont="1" applyFill="1" applyBorder="1" applyAlignment="1">
      <alignment vertical="center"/>
    </xf>
    <xf numFmtId="0" fontId="1" fillId="5" borderId="7" xfId="0" applyFont="1" applyFill="1" applyBorder="1" applyAlignment="1">
      <alignment horizontal="center"/>
    </xf>
    <xf numFmtId="0" fontId="1" fillId="5" borderId="61" xfId="0" applyFont="1" applyFill="1" applyBorder="1" applyAlignment="1">
      <alignment horizontal="center"/>
    </xf>
    <xf numFmtId="0" fontId="1" fillId="5" borderId="34" xfId="0" applyFont="1" applyFill="1" applyBorder="1" applyAlignment="1">
      <alignment horizontal="center"/>
    </xf>
    <xf numFmtId="166" fontId="1" fillId="5" borderId="7" xfId="0" applyNumberFormat="1" applyFont="1" applyFill="1" applyBorder="1" applyAlignment="1">
      <alignment horizontal="center"/>
    </xf>
    <xf numFmtId="166" fontId="1" fillId="5" borderId="7" xfId="0" applyNumberFormat="1" applyFont="1" applyFill="1" applyBorder="1" applyAlignment="1">
      <alignment horizontal="center" wrapText="1"/>
    </xf>
    <xf numFmtId="11" fontId="1" fillId="5" borderId="7" xfId="0" applyNumberFormat="1" applyFont="1" applyFill="1" applyBorder="1" applyAlignment="1">
      <alignment horizontal="center"/>
    </xf>
    <xf numFmtId="0" fontId="2" fillId="5" borderId="7" xfId="0" applyFont="1" applyFill="1" applyBorder="1" applyAlignment="1" applyProtection="1">
      <alignment horizontal="center" vertical="center" wrapText="1"/>
    </xf>
    <xf numFmtId="11" fontId="1" fillId="5" borderId="7" xfId="0" applyNumberFormat="1" applyFont="1" applyFill="1" applyBorder="1" applyAlignment="1">
      <alignment horizontal="center" vertical="center"/>
    </xf>
    <xf numFmtId="11" fontId="1" fillId="5" borderId="11" xfId="0" applyNumberFormat="1" applyFont="1" applyFill="1" applyBorder="1" applyAlignment="1">
      <alignment horizontal="center" vertical="center"/>
    </xf>
    <xf numFmtId="166" fontId="1" fillId="5" borderId="69" xfId="0" applyNumberFormat="1" applyFont="1" applyFill="1" applyBorder="1" applyAlignment="1">
      <alignment horizontal="center" vertical="center" wrapText="1"/>
    </xf>
    <xf numFmtId="11" fontId="0" fillId="0" borderId="0" xfId="0" applyNumberFormat="1"/>
    <xf numFmtId="166" fontId="0" fillId="0" borderId="0" xfId="0" applyNumberFormat="1"/>
    <xf numFmtId="0" fontId="4" fillId="0" borderId="0" xfId="0" applyFont="1" applyAlignment="1" applyProtection="1">
      <alignment wrapText="1"/>
    </xf>
    <xf numFmtId="0" fontId="4" fillId="0" borderId="0" xfId="0" applyFont="1" applyAlignment="1">
      <alignment wrapText="1"/>
    </xf>
    <xf numFmtId="0" fontId="4" fillId="0" borderId="0" xfId="0" applyFont="1" applyBorder="1" applyAlignment="1">
      <alignment wrapText="1"/>
    </xf>
    <xf numFmtId="0" fontId="0" fillId="0" borderId="0" xfId="0" applyAlignment="1"/>
    <xf numFmtId="166" fontId="1" fillId="3" borderId="8" xfId="0" applyNumberFormat="1" applyFont="1" applyFill="1" applyBorder="1" applyAlignment="1">
      <alignment horizontal="center" vertical="center" wrapText="1"/>
    </xf>
    <xf numFmtId="166" fontId="1" fillId="3" borderId="67" xfId="0" applyNumberFormat="1" applyFont="1" applyFill="1" applyBorder="1" applyAlignment="1">
      <alignment horizontal="center" vertical="center" wrapText="1"/>
    </xf>
    <xf numFmtId="166" fontId="2" fillId="3" borderId="70" xfId="0" applyNumberFormat="1" applyFont="1" applyFill="1" applyBorder="1" applyAlignment="1">
      <alignment horizontal="center"/>
    </xf>
    <xf numFmtId="166" fontId="1" fillId="6" borderId="8" xfId="0" applyNumberFormat="1" applyFont="1" applyFill="1" applyBorder="1" applyAlignment="1">
      <alignment horizontal="center" vertical="center" wrapText="1"/>
    </xf>
    <xf numFmtId="166" fontId="1" fillId="6" borderId="67" xfId="0" applyNumberFormat="1" applyFont="1" applyFill="1" applyBorder="1" applyAlignment="1">
      <alignment horizontal="center" vertical="center" wrapText="1"/>
    </xf>
    <xf numFmtId="166" fontId="2" fillId="6" borderId="70" xfId="0" applyNumberFormat="1" applyFont="1" applyFill="1" applyBorder="1" applyAlignment="1">
      <alignment horizontal="center"/>
    </xf>
    <xf numFmtId="11" fontId="1" fillId="3" borderId="71" xfId="0" applyNumberFormat="1" applyFont="1" applyFill="1" applyBorder="1" applyAlignment="1">
      <alignment horizontal="left" wrapText="1"/>
    </xf>
    <xf numFmtId="0" fontId="1" fillId="3" borderId="16" xfId="0" applyFont="1" applyFill="1" applyBorder="1" applyAlignment="1" applyProtection="1">
      <alignment horizontal="center" vertical="center" wrapText="1"/>
    </xf>
    <xf numFmtId="166" fontId="1" fillId="3" borderId="19" xfId="0" applyNumberFormat="1" applyFont="1" applyFill="1" applyBorder="1" applyAlignment="1">
      <alignment horizontal="center" vertical="center" wrapText="1"/>
    </xf>
    <xf numFmtId="0" fontId="2" fillId="3" borderId="33" xfId="0" applyFont="1" applyFill="1" applyBorder="1" applyAlignment="1">
      <alignment horizontal="left" wrapText="1"/>
    </xf>
    <xf numFmtId="0" fontId="2" fillId="3" borderId="72" xfId="0" applyFont="1" applyFill="1" applyBorder="1" applyAlignment="1" applyProtection="1">
      <alignment horizontal="center" vertical="center" wrapText="1"/>
    </xf>
    <xf numFmtId="0" fontId="2" fillId="3" borderId="33" xfId="0" applyFont="1" applyFill="1" applyBorder="1" applyAlignment="1">
      <alignment horizontal="left"/>
    </xf>
    <xf numFmtId="166" fontId="0" fillId="3" borderId="41" xfId="0" applyNumberFormat="1" applyFill="1" applyBorder="1" applyAlignment="1">
      <alignment horizontal="center"/>
    </xf>
    <xf numFmtId="0" fontId="0" fillId="3" borderId="72" xfId="0" applyFill="1" applyBorder="1" applyAlignment="1">
      <alignment horizontal="center"/>
    </xf>
    <xf numFmtId="11" fontId="2" fillId="3" borderId="27" xfId="0" applyNumberFormat="1" applyFont="1" applyFill="1" applyBorder="1" applyAlignment="1">
      <alignment horizontal="left"/>
    </xf>
    <xf numFmtId="166" fontId="1" fillId="3" borderId="29" xfId="0" applyNumberFormat="1" applyFont="1" applyFill="1" applyBorder="1" applyAlignment="1">
      <alignment horizontal="center" vertical="center" wrapText="1"/>
    </xf>
    <xf numFmtId="11" fontId="2" fillId="6" borderId="33" xfId="0" applyNumberFormat="1" applyFont="1" applyFill="1" applyBorder="1" applyAlignment="1">
      <alignment horizontal="left"/>
    </xf>
    <xf numFmtId="0" fontId="2" fillId="6" borderId="72" xfId="0" applyFont="1" applyFill="1" applyBorder="1" applyAlignment="1" applyProtection="1">
      <alignment horizontal="center" vertical="center" wrapText="1"/>
    </xf>
    <xf numFmtId="166" fontId="1" fillId="6" borderId="41" xfId="0" applyNumberFormat="1" applyFont="1" applyFill="1" applyBorder="1" applyAlignment="1">
      <alignment horizontal="center" vertical="center" wrapText="1"/>
    </xf>
    <xf numFmtId="11" fontId="2" fillId="7" borderId="33" xfId="0" applyNumberFormat="1" applyFont="1" applyFill="1" applyBorder="1" applyAlignment="1">
      <alignment horizontal="left"/>
    </xf>
    <xf numFmtId="0" fontId="2" fillId="7" borderId="72" xfId="0" applyFont="1" applyFill="1" applyBorder="1" applyAlignment="1" applyProtection="1">
      <alignment horizontal="center" vertical="center" wrapText="1"/>
    </xf>
    <xf numFmtId="0" fontId="2" fillId="7" borderId="27" xfId="0" applyFont="1" applyFill="1" applyBorder="1" applyAlignment="1">
      <alignment horizontal="left" wrapText="1"/>
    </xf>
    <xf numFmtId="166" fontId="1" fillId="7" borderId="8" xfId="0" applyNumberFormat="1" applyFont="1" applyFill="1" applyBorder="1" applyAlignment="1">
      <alignment horizontal="center" vertical="center" wrapText="1"/>
    </xf>
    <xf numFmtId="166" fontId="1" fillId="7" borderId="67" xfId="0" applyNumberFormat="1" applyFont="1" applyFill="1" applyBorder="1" applyAlignment="1">
      <alignment horizontal="center" vertical="center" wrapText="1"/>
    </xf>
    <xf numFmtId="166" fontId="1" fillId="7" borderId="41" xfId="0" applyNumberFormat="1" applyFont="1" applyFill="1" applyBorder="1" applyAlignment="1">
      <alignment horizontal="center" vertical="center" wrapText="1"/>
    </xf>
    <xf numFmtId="166" fontId="2" fillId="7" borderId="70" xfId="0" applyNumberFormat="1" applyFont="1" applyFill="1" applyBorder="1" applyAlignment="1">
      <alignment horizontal="center"/>
    </xf>
    <xf numFmtId="0" fontId="1" fillId="0" borderId="0" xfId="0" applyFont="1" applyFill="1" applyAlignment="1" applyProtection="1">
      <alignment horizontal="left"/>
    </xf>
    <xf numFmtId="0" fontId="11" fillId="0" borderId="0" xfId="0" applyFont="1" applyAlignment="1"/>
    <xf numFmtId="0" fontId="3" fillId="0" borderId="0" xfId="0" applyFont="1" applyFill="1" applyAlignment="1" applyProtection="1">
      <alignment horizontal="centerContinuous"/>
    </xf>
    <xf numFmtId="0" fontId="11" fillId="0" borderId="0" xfId="0" applyFont="1" applyAlignment="1">
      <alignment horizontal="centerContinuous"/>
    </xf>
    <xf numFmtId="0" fontId="19" fillId="0" borderId="13" xfId="0" applyFont="1" applyFill="1" applyBorder="1" applyProtection="1"/>
    <xf numFmtId="0" fontId="19" fillId="0" borderId="5" xfId="0" applyFont="1" applyFill="1" applyBorder="1" applyProtection="1"/>
    <xf numFmtId="0" fontId="19" fillId="0" borderId="5" xfId="0" applyFont="1" applyFill="1" applyBorder="1" applyAlignment="1" applyProtection="1">
      <alignment horizontal="center"/>
    </xf>
    <xf numFmtId="0" fontId="19" fillId="2" borderId="48" xfId="0" applyFont="1" applyFill="1" applyBorder="1" applyAlignment="1" applyProtection="1">
      <alignment horizontal="center"/>
    </xf>
    <xf numFmtId="11" fontId="1" fillId="2" borderId="6" xfId="0" applyNumberFormat="1" applyFont="1" applyFill="1" applyBorder="1" applyAlignment="1" applyProtection="1">
      <alignment horizontal="center"/>
    </xf>
    <xf numFmtId="0" fontId="1" fillId="3" borderId="6" xfId="0" applyFont="1" applyFill="1" applyBorder="1" applyAlignment="1" applyProtection="1">
      <alignment horizontal="center"/>
    </xf>
    <xf numFmtId="49" fontId="1" fillId="0" borderId="0" xfId="0" applyNumberFormat="1" applyFont="1" applyFill="1" applyAlignment="1" applyProtection="1">
      <alignment horizontal="centerContinuous"/>
    </xf>
    <xf numFmtId="0" fontId="2" fillId="3" borderId="68" xfId="0" applyFont="1" applyFill="1" applyBorder="1" applyAlignment="1">
      <alignment horizontal="center" vertical="center" wrapText="1"/>
    </xf>
    <xf numFmtId="0" fontId="2" fillId="6" borderId="27" xfId="0" applyFont="1" applyFill="1" applyBorder="1" applyAlignment="1">
      <alignment horizontal="left" wrapText="1"/>
    </xf>
    <xf numFmtId="0" fontId="2" fillId="6" borderId="68" xfId="0" applyFont="1" applyFill="1" applyBorder="1" applyAlignment="1">
      <alignment horizontal="center" vertical="center" wrapText="1"/>
    </xf>
    <xf numFmtId="0" fontId="2" fillId="7" borderId="68" xfId="0" applyFont="1" applyFill="1" applyBorder="1" applyAlignment="1">
      <alignment horizontal="center" vertical="center" wrapText="1"/>
    </xf>
    <xf numFmtId="0" fontId="1" fillId="7" borderId="12" xfId="0" applyFont="1" applyFill="1" applyBorder="1" applyProtection="1"/>
    <xf numFmtId="0" fontId="11" fillId="8" borderId="21" xfId="0" applyFont="1" applyFill="1" applyBorder="1" applyAlignment="1" applyProtection="1">
      <alignment horizontal="centerContinuous"/>
    </xf>
    <xf numFmtId="0" fontId="11" fillId="8" borderId="73" xfId="0" applyFont="1" applyFill="1" applyBorder="1" applyAlignment="1" applyProtection="1">
      <alignment horizontal="center"/>
    </xf>
    <xf numFmtId="0" fontId="4" fillId="8" borderId="74" xfId="0" applyFont="1" applyFill="1" applyBorder="1" applyAlignment="1" applyProtection="1">
      <alignment horizontal="right"/>
    </xf>
    <xf numFmtId="166" fontId="4" fillId="8" borderId="75" xfId="0" applyNumberFormat="1" applyFont="1" applyFill="1" applyBorder="1" applyAlignment="1" applyProtection="1">
      <alignment horizontal="center"/>
      <protection hidden="1"/>
    </xf>
    <xf numFmtId="0" fontId="11" fillId="8" borderId="12" xfId="0" applyFont="1" applyFill="1" applyBorder="1" applyProtection="1"/>
    <xf numFmtId="0" fontId="4" fillId="8" borderId="76" xfId="0" applyFont="1" applyFill="1" applyBorder="1" applyAlignment="1" applyProtection="1">
      <alignment horizontal="right"/>
    </xf>
    <xf numFmtId="0" fontId="4" fillId="8" borderId="12" xfId="0" applyFont="1" applyFill="1" applyBorder="1" applyProtection="1"/>
    <xf numFmtId="0" fontId="4" fillId="8" borderId="13" xfId="0" applyFont="1" applyFill="1" applyBorder="1" applyProtection="1"/>
    <xf numFmtId="0" fontId="11" fillId="8" borderId="77" xfId="0" applyFont="1" applyFill="1" applyBorder="1" applyAlignment="1" applyProtection="1">
      <alignment horizontal="right"/>
    </xf>
    <xf numFmtId="166" fontId="11" fillId="8" borderId="78" xfId="0" applyNumberFormat="1" applyFont="1" applyFill="1" applyBorder="1" applyAlignment="1" applyProtection="1">
      <alignment horizontal="center"/>
      <protection hidden="1"/>
    </xf>
    <xf numFmtId="11" fontId="1" fillId="0" borderId="0" xfId="0" applyNumberFormat="1" applyFont="1" applyFill="1" applyBorder="1" applyAlignment="1">
      <alignment horizontal="left" wrapText="1"/>
    </xf>
    <xf numFmtId="11" fontId="1" fillId="0" borderId="0" xfId="0" applyNumberFormat="1" applyFont="1" applyFill="1" applyBorder="1" applyAlignment="1">
      <alignment horizontal="center" vertical="center"/>
    </xf>
    <xf numFmtId="166" fontId="1" fillId="0" borderId="0" xfId="0" applyNumberFormat="1" applyFont="1" applyFill="1" applyBorder="1" applyAlignment="1">
      <alignment horizontal="center" vertical="center" wrapText="1"/>
    </xf>
    <xf numFmtId="11" fontId="2" fillId="7" borderId="79" xfId="0" applyNumberFormat="1" applyFont="1" applyFill="1" applyBorder="1" applyAlignment="1">
      <alignment horizontal="left" wrapText="1"/>
    </xf>
    <xf numFmtId="11" fontId="1" fillId="7" borderId="80" xfId="0" applyNumberFormat="1" applyFont="1" applyFill="1" applyBorder="1" applyAlignment="1">
      <alignment horizontal="left" wrapText="1"/>
    </xf>
    <xf numFmtId="11" fontId="2" fillId="7" borderId="22" xfId="0" applyNumberFormat="1" applyFont="1" applyFill="1" applyBorder="1" applyAlignment="1">
      <alignment horizontal="left" wrapText="1"/>
    </xf>
    <xf numFmtId="11" fontId="2" fillId="7" borderId="52" xfId="0" applyNumberFormat="1" applyFont="1" applyFill="1" applyBorder="1" applyAlignment="1">
      <alignment horizontal="center" vertical="center"/>
    </xf>
    <xf numFmtId="11" fontId="1" fillId="7" borderId="54" xfId="0" applyNumberFormat="1" applyFont="1" applyFill="1" applyBorder="1" applyAlignment="1">
      <alignment horizontal="center" vertical="center"/>
    </xf>
    <xf numFmtId="11" fontId="1" fillId="7" borderId="58" xfId="0" applyNumberFormat="1" applyFont="1" applyFill="1" applyBorder="1" applyAlignment="1">
      <alignment horizontal="center" vertical="center"/>
    </xf>
    <xf numFmtId="11" fontId="2" fillId="7" borderId="13" xfId="0" applyNumberFormat="1" applyFont="1" applyFill="1" applyBorder="1" applyAlignment="1">
      <alignment horizontal="left" wrapText="1"/>
    </xf>
    <xf numFmtId="11" fontId="2" fillId="7" borderId="56" xfId="0" applyNumberFormat="1" applyFont="1" applyFill="1" applyBorder="1" applyAlignment="1">
      <alignment horizontal="center" vertical="center"/>
    </xf>
    <xf numFmtId="11" fontId="1" fillId="7" borderId="12" xfId="0" applyNumberFormat="1" applyFont="1" applyFill="1" applyBorder="1" applyAlignment="1">
      <alignment horizontal="left" wrapText="1"/>
    </xf>
    <xf numFmtId="0" fontId="1" fillId="7" borderId="27" xfId="0" applyFont="1" applyFill="1" applyBorder="1" applyProtection="1"/>
    <xf numFmtId="0" fontId="14" fillId="0" borderId="12" xfId="0" applyFont="1" applyFill="1" applyBorder="1" applyAlignment="1" applyProtection="1">
      <alignment horizontal="left"/>
    </xf>
    <xf numFmtId="0" fontId="0" fillId="0" borderId="0" xfId="0" applyBorder="1" applyAlignment="1"/>
    <xf numFmtId="0" fontId="16" fillId="0" borderId="0" xfId="0" applyFont="1" applyBorder="1" applyAlignment="1" applyProtection="1"/>
    <xf numFmtId="0" fontId="16" fillId="0" borderId="0" xfId="0" applyFont="1" applyBorder="1" applyAlignment="1"/>
    <xf numFmtId="49" fontId="4" fillId="0" borderId="0" xfId="0" applyNumberFormat="1" applyFont="1" applyAlignment="1">
      <alignment wrapText="1"/>
    </xf>
    <xf numFmtId="49" fontId="4" fillId="0" borderId="0" xfId="0" applyNumberFormat="1" applyFont="1" applyBorder="1" applyAlignment="1">
      <alignment wrapText="1"/>
    </xf>
    <xf numFmtId="49" fontId="4" fillId="0" borderId="0" xfId="0" applyNumberFormat="1" applyFont="1" applyAlignment="1" applyProtection="1"/>
    <xf numFmtId="11" fontId="9" fillId="2" borderId="32" xfId="0" applyNumberFormat="1" applyFont="1" applyFill="1" applyBorder="1" applyAlignment="1">
      <alignment horizontal="center"/>
    </xf>
    <xf numFmtId="0" fontId="9" fillId="0" borderId="0" xfId="0" applyFont="1" applyFill="1" applyAlignment="1" applyProtection="1">
      <alignment horizontal="centerContinuous"/>
    </xf>
    <xf numFmtId="0" fontId="11" fillId="7" borderId="22" xfId="0" applyFont="1" applyFill="1" applyBorder="1" applyAlignment="1" applyProtection="1">
      <alignment horizontal="left"/>
    </xf>
    <xf numFmtId="0" fontId="1" fillId="0" borderId="0" xfId="0" applyFont="1" applyFill="1" applyBorder="1" applyAlignment="1">
      <alignment horizontal="center" vertical="center" wrapText="1"/>
    </xf>
    <xf numFmtId="0" fontId="0" fillId="0" borderId="12" xfId="0" applyBorder="1"/>
    <xf numFmtId="49" fontId="1" fillId="0" borderId="27" xfId="0" applyNumberFormat="1" applyFont="1" applyFill="1" applyBorder="1"/>
    <xf numFmtId="11" fontId="19" fillId="2" borderId="32" xfId="0" applyNumberFormat="1" applyFont="1" applyFill="1" applyBorder="1" applyAlignment="1">
      <alignment horizontal="center"/>
    </xf>
    <xf numFmtId="0" fontId="4" fillId="5" borderId="88" xfId="0" applyFont="1" applyFill="1" applyBorder="1" applyAlignment="1" applyProtection="1">
      <alignment horizontal="center"/>
      <protection locked="0"/>
    </xf>
    <xf numFmtId="2" fontId="23" fillId="0" borderId="4" xfId="0" applyNumberFormat="1" applyFont="1" applyFill="1" applyBorder="1" applyAlignment="1" applyProtection="1">
      <alignment horizontal="center"/>
    </xf>
    <xf numFmtId="0" fontId="25" fillId="0" borderId="0" xfId="0" applyFont="1" applyFill="1" applyAlignment="1" applyProtection="1">
      <alignment horizontal="left"/>
    </xf>
    <xf numFmtId="164" fontId="4" fillId="5" borderId="80" xfId="0" applyNumberFormat="1" applyFont="1" applyFill="1" applyBorder="1" applyAlignment="1" applyProtection="1">
      <alignment horizontal="center"/>
      <protection locked="0"/>
    </xf>
    <xf numFmtId="2" fontId="1" fillId="0" borderId="0" xfId="0" applyNumberFormat="1" applyFont="1" applyFill="1" applyAlignment="1" applyProtection="1">
      <alignment horizontal="left"/>
    </xf>
    <xf numFmtId="1" fontId="1" fillId="9" borderId="7" xfId="0" applyNumberFormat="1" applyFont="1" applyFill="1" applyBorder="1" applyAlignment="1" applyProtection="1">
      <alignment horizontal="center"/>
    </xf>
    <xf numFmtId="0" fontId="24" fillId="2" borderId="6" xfId="0" applyFont="1" applyFill="1" applyBorder="1" applyAlignment="1" applyProtection="1">
      <alignment horizontal="center"/>
    </xf>
    <xf numFmtId="1" fontId="24" fillId="2" borderId="6" xfId="0" applyNumberFormat="1" applyFont="1" applyFill="1" applyBorder="1" applyAlignment="1" applyProtection="1">
      <alignment horizontal="center"/>
    </xf>
    <xf numFmtId="166" fontId="4" fillId="5" borderId="54" xfId="0" applyNumberFormat="1" applyFont="1" applyFill="1" applyBorder="1" applyAlignment="1" applyProtection="1">
      <alignment horizontal="center"/>
      <protection locked="0"/>
    </xf>
    <xf numFmtId="49" fontId="4" fillId="0" borderId="0" xfId="0" applyNumberFormat="1" applyFont="1" applyAlignment="1">
      <alignment wrapText="1"/>
    </xf>
    <xf numFmtId="49" fontId="4" fillId="0" borderId="0" xfId="0" applyNumberFormat="1" applyFont="1" applyBorder="1" applyAlignment="1">
      <alignment wrapText="1"/>
    </xf>
    <xf numFmtId="49" fontId="2" fillId="0" borderId="2" xfId="0" applyNumberFormat="1" applyFont="1" applyFill="1" applyBorder="1"/>
    <xf numFmtId="49" fontId="2" fillId="0" borderId="3" xfId="0" applyNumberFormat="1" applyFont="1" applyFill="1" applyBorder="1"/>
    <xf numFmtId="1" fontId="1" fillId="0" borderId="3" xfId="0" applyNumberFormat="1" applyFont="1" applyFill="1" applyBorder="1" applyAlignment="1" applyProtection="1">
      <alignment horizontal="center"/>
    </xf>
    <xf numFmtId="0" fontId="4" fillId="0" borderId="3" xfId="0" applyFont="1" applyFill="1" applyBorder="1"/>
    <xf numFmtId="164" fontId="4" fillId="0" borderId="28" xfId="0" applyNumberFormat="1" applyFont="1" applyFill="1" applyBorder="1" applyAlignment="1" applyProtection="1">
      <alignment horizontal="left"/>
      <protection locked="0"/>
    </xf>
    <xf numFmtId="0" fontId="4" fillId="0" borderId="0" xfId="0" applyFont="1" applyAlignment="1" applyProtection="1">
      <alignment horizontal="left"/>
      <protection locked="0"/>
    </xf>
    <xf numFmtId="0" fontId="4" fillId="0" borderId="28" xfId="0" applyFont="1" applyBorder="1" applyAlignment="1" applyProtection="1">
      <alignment horizontal="left"/>
      <protection locked="0"/>
    </xf>
    <xf numFmtId="49" fontId="4" fillId="0" borderId="28" xfId="0" applyNumberFormat="1" applyFont="1" applyBorder="1" applyAlignment="1" applyProtection="1">
      <alignment horizontal="left"/>
      <protection locked="0"/>
    </xf>
    <xf numFmtId="11" fontId="2" fillId="0" borderId="82" xfId="0" applyNumberFormat="1" applyFont="1" applyFill="1" applyBorder="1" applyAlignment="1" applyProtection="1">
      <alignment horizontal="center"/>
    </xf>
    <xf numFmtId="11" fontId="22" fillId="0" borderId="82" xfId="0" applyNumberFormat="1" applyFont="1" applyFill="1" applyBorder="1" applyAlignment="1" applyProtection="1">
      <alignment horizontal="center"/>
    </xf>
    <xf numFmtId="11" fontId="22" fillId="0" borderId="16" xfId="0" applyNumberFormat="1" applyFont="1" applyFill="1" applyBorder="1" applyAlignment="1" applyProtection="1">
      <alignment horizontal="center" vertical="center"/>
    </xf>
    <xf numFmtId="0" fontId="4" fillId="0" borderId="6" xfId="0" applyFont="1" applyFill="1" applyBorder="1" applyAlignment="1">
      <alignment wrapText="1"/>
    </xf>
    <xf numFmtId="11" fontId="1" fillId="0" borderId="0" xfId="0" applyNumberFormat="1" applyFont="1" applyFill="1" applyBorder="1" applyAlignment="1"/>
    <xf numFmtId="0" fontId="26" fillId="0" borderId="0" xfId="0" applyFont="1" applyFill="1" applyAlignment="1">
      <alignment horizontal="left" vertical="center"/>
    </xf>
    <xf numFmtId="2" fontId="4" fillId="0" borderId="3" xfId="0" applyNumberFormat="1" applyFont="1" applyFill="1" applyBorder="1"/>
    <xf numFmtId="166" fontId="4" fillId="0" borderId="3" xfId="0" applyNumberFormat="1" applyFont="1" applyFill="1" applyBorder="1"/>
    <xf numFmtId="166" fontId="4" fillId="0" borderId="15" xfId="0" applyNumberFormat="1" applyFont="1" applyFill="1" applyBorder="1"/>
    <xf numFmtId="49" fontId="4" fillId="0" borderId="6" xfId="0" applyNumberFormat="1" applyFont="1" applyFill="1" applyBorder="1"/>
    <xf numFmtId="0" fontId="4" fillId="0" borderId="6" xfId="0" applyFont="1" applyFill="1" applyBorder="1" applyAlignment="1"/>
    <xf numFmtId="49" fontId="25" fillId="0" borderId="12" xfId="0" applyNumberFormat="1" applyFont="1" applyFill="1" applyBorder="1" applyAlignment="1">
      <alignment wrapText="1"/>
    </xf>
    <xf numFmtId="2" fontId="1" fillId="0" borderId="0" xfId="0" applyNumberFormat="1" applyFont="1" applyFill="1" applyBorder="1"/>
    <xf numFmtId="11" fontId="1" fillId="0" borderId="0" xfId="0" applyNumberFormat="1" applyFont="1" applyFill="1" applyBorder="1"/>
    <xf numFmtId="11" fontId="1" fillId="0" borderId="6" xfId="0" applyNumberFormat="1" applyFont="1" applyFill="1" applyBorder="1"/>
    <xf numFmtId="2" fontId="4" fillId="0" borderId="0" xfId="0" applyNumberFormat="1" applyFont="1" applyFill="1" applyBorder="1"/>
    <xf numFmtId="166" fontId="4" fillId="0" borderId="6" xfId="0" applyNumberFormat="1" applyFont="1" applyFill="1" applyBorder="1"/>
    <xf numFmtId="2" fontId="4" fillId="0" borderId="0" xfId="0" applyNumberFormat="1" applyFont="1" applyFill="1" applyBorder="1" applyAlignment="1"/>
    <xf numFmtId="166" fontId="4" fillId="0" borderId="6" xfId="0" applyNumberFormat="1" applyFont="1" applyFill="1" applyBorder="1" applyAlignment="1"/>
    <xf numFmtId="0" fontId="1" fillId="0" borderId="0" xfId="0" applyFont="1" applyFill="1" applyBorder="1" applyAlignment="1">
      <alignment horizontal="center"/>
    </xf>
    <xf numFmtId="1" fontId="1" fillId="0" borderId="0" xfId="0" applyNumberFormat="1" applyFont="1" applyFill="1" applyBorder="1" applyAlignment="1">
      <alignment horizontal="center"/>
    </xf>
    <xf numFmtId="1" fontId="16" fillId="0" borderId="0" xfId="0" applyNumberFormat="1" applyFont="1" applyFill="1" applyBorder="1" applyAlignment="1">
      <alignment horizontal="center"/>
    </xf>
    <xf numFmtId="2" fontId="1" fillId="0" borderId="0" xfId="0" applyNumberFormat="1" applyFont="1" applyFill="1" applyBorder="1" applyAlignment="1">
      <alignment horizontal="center"/>
    </xf>
    <xf numFmtId="11" fontId="1" fillId="0" borderId="0" xfId="0" applyNumberFormat="1" applyFont="1" applyFill="1" applyBorder="1" applyAlignment="1">
      <alignment horizontal="center"/>
    </xf>
    <xf numFmtId="11" fontId="1" fillId="0" borderId="6" xfId="0" applyNumberFormat="1" applyFont="1" applyFill="1" applyBorder="1" applyAlignment="1">
      <alignment horizontal="center"/>
    </xf>
    <xf numFmtId="2" fontId="1" fillId="0" borderId="0" xfId="0" applyNumberFormat="1" applyFont="1" applyFill="1" applyBorder="1" applyAlignment="1"/>
    <xf numFmtId="11" fontId="1" fillId="0" borderId="6" xfId="0" applyNumberFormat="1" applyFont="1" applyFill="1" applyBorder="1" applyAlignment="1"/>
    <xf numFmtId="0" fontId="4" fillId="0" borderId="0" xfId="0" applyFont="1" applyBorder="1" applyAlignment="1" applyProtection="1">
      <alignment wrapText="1"/>
    </xf>
    <xf numFmtId="0" fontId="4" fillId="0" borderId="0" xfId="0" applyFont="1" applyBorder="1" applyAlignment="1">
      <alignment wrapText="1"/>
    </xf>
    <xf numFmtId="0" fontId="4" fillId="0" borderId="0" xfId="0" applyFont="1" applyAlignment="1" applyProtection="1">
      <alignment wrapText="1"/>
    </xf>
    <xf numFmtId="0" fontId="11" fillId="2" borderId="2" xfId="0" applyFont="1" applyFill="1" applyBorder="1" applyAlignment="1">
      <alignment vertical="center" wrapText="1"/>
    </xf>
    <xf numFmtId="0" fontId="0" fillId="0" borderId="3" xfId="0" applyBorder="1" applyAlignment="1">
      <alignment wrapText="1"/>
    </xf>
    <xf numFmtId="0" fontId="0" fillId="0" borderId="15" xfId="0" applyBorder="1" applyAlignment="1">
      <alignment wrapText="1"/>
    </xf>
    <xf numFmtId="0" fontId="11" fillId="2" borderId="13" xfId="0" applyFont="1" applyFill="1" applyBorder="1" applyAlignment="1">
      <alignment vertical="center" wrapText="1"/>
    </xf>
    <xf numFmtId="0" fontId="0" fillId="0" borderId="5" xfId="0" applyBorder="1" applyAlignment="1">
      <alignment wrapText="1"/>
    </xf>
    <xf numFmtId="0" fontId="0" fillId="0" borderId="48" xfId="0" applyBorder="1" applyAlignment="1">
      <alignment wrapText="1"/>
    </xf>
    <xf numFmtId="0" fontId="1" fillId="0" borderId="3" xfId="0" applyFont="1" applyFill="1" applyBorder="1" applyAlignment="1">
      <alignment vertical="center" wrapText="1"/>
    </xf>
    <xf numFmtId="0" fontId="1" fillId="0" borderId="3" xfId="0" applyFont="1" applyFill="1" applyBorder="1" applyAlignment="1">
      <alignment wrapText="1"/>
    </xf>
    <xf numFmtId="0" fontId="1" fillId="0" borderId="3" xfId="0" applyFont="1" applyFill="1" applyBorder="1" applyAlignment="1" applyProtection="1">
      <alignment horizontal="left" wrapText="1"/>
    </xf>
    <xf numFmtId="0" fontId="0" fillId="0" borderId="0" xfId="0" applyAlignment="1">
      <alignment wrapText="1"/>
    </xf>
    <xf numFmtId="0" fontId="14" fillId="0" borderId="12" xfId="0" applyFont="1" applyBorder="1" applyAlignment="1">
      <alignment horizontal="center" wrapText="1"/>
    </xf>
    <xf numFmtId="0" fontId="0" fillId="0" borderId="12" xfId="0" applyBorder="1" applyAlignment="1">
      <alignment wrapText="1"/>
    </xf>
    <xf numFmtId="0" fontId="14" fillId="0" borderId="12" xfId="0" applyFont="1" applyFill="1" applyBorder="1" applyAlignment="1" applyProtection="1">
      <alignment wrapText="1"/>
    </xf>
    <xf numFmtId="0" fontId="4" fillId="0" borderId="0" xfId="0" applyNumberFormat="1" applyFont="1" applyAlignment="1" applyProtection="1">
      <alignment horizontal="left" wrapText="1"/>
      <protection hidden="1"/>
    </xf>
    <xf numFmtId="0" fontId="4" fillId="0" borderId="0" xfId="0" applyFont="1" applyAlignment="1">
      <alignment wrapText="1"/>
    </xf>
    <xf numFmtId="49" fontId="4" fillId="0" borderId="0" xfId="0" applyNumberFormat="1" applyFont="1" applyFill="1" applyBorder="1" applyAlignment="1" applyProtection="1">
      <alignment horizontal="left" wrapText="1"/>
      <protection locked="0"/>
    </xf>
    <xf numFmtId="11" fontId="2" fillId="0" borderId="30" xfId="0" applyNumberFormat="1" applyFont="1" applyFill="1" applyBorder="1" applyAlignment="1">
      <alignment horizontal="center" wrapText="1"/>
    </xf>
    <xf numFmtId="0" fontId="0" fillId="0" borderId="28" xfId="0" applyFill="1" applyBorder="1" applyAlignment="1"/>
    <xf numFmtId="49" fontId="4" fillId="0" borderId="0" xfId="0" applyNumberFormat="1" applyFont="1" applyAlignment="1" applyProtection="1">
      <alignment wrapText="1"/>
    </xf>
    <xf numFmtId="49" fontId="4" fillId="0" borderId="0" xfId="0" applyNumberFormat="1" applyFont="1" applyAlignment="1">
      <alignment wrapText="1"/>
    </xf>
    <xf numFmtId="49" fontId="4" fillId="0" borderId="0" xfId="0" applyNumberFormat="1" applyFont="1" applyBorder="1" applyAlignment="1">
      <alignment wrapText="1"/>
    </xf>
    <xf numFmtId="0" fontId="4" fillId="5" borderId="91" xfId="0" applyFont="1" applyFill="1" applyBorder="1" applyAlignment="1" applyProtection="1">
      <alignment horizontal="center" wrapText="1"/>
      <protection locked="0"/>
    </xf>
    <xf numFmtId="0" fontId="0" fillId="0" borderId="92" xfId="0" applyBorder="1" applyAlignment="1" applyProtection="1">
      <alignment wrapText="1"/>
      <protection locked="0"/>
    </xf>
    <xf numFmtId="0" fontId="0" fillId="0" borderId="93" xfId="0" applyBorder="1" applyAlignment="1" applyProtection="1">
      <alignment wrapText="1"/>
      <protection locked="0"/>
    </xf>
    <xf numFmtId="0" fontId="1" fillId="5" borderId="91" xfId="0" applyFont="1" applyFill="1" applyBorder="1" applyAlignment="1" applyProtection="1">
      <alignment horizontal="center" wrapText="1"/>
      <protection locked="0"/>
    </xf>
    <xf numFmtId="0" fontId="0" fillId="0" borderId="92" xfId="0" applyBorder="1" applyAlignment="1">
      <alignment wrapText="1"/>
    </xf>
    <xf numFmtId="0" fontId="0" fillId="0" borderId="93" xfId="0" applyBorder="1" applyAlignment="1">
      <alignment wrapText="1"/>
    </xf>
    <xf numFmtId="11" fontId="2" fillId="0" borderId="94" xfId="0" applyNumberFormat="1" applyFont="1" applyFill="1" applyBorder="1" applyAlignment="1">
      <alignment horizontal="center" wrapText="1"/>
    </xf>
    <xf numFmtId="0" fontId="0" fillId="0" borderId="95" xfId="0" applyFill="1" applyBorder="1" applyAlignment="1">
      <alignment wrapText="1"/>
    </xf>
    <xf numFmtId="0" fontId="0" fillId="0" borderId="96" xfId="0" applyFill="1" applyBorder="1" applyAlignment="1">
      <alignment wrapText="1"/>
    </xf>
    <xf numFmtId="11" fontId="2" fillId="0" borderId="97" xfId="0" applyNumberFormat="1" applyFont="1" applyFill="1" applyBorder="1" applyAlignment="1">
      <alignment horizontal="center" wrapText="1"/>
    </xf>
    <xf numFmtId="0" fontId="0" fillId="0" borderId="98" xfId="0" applyFill="1" applyBorder="1" applyAlignment="1">
      <alignment wrapText="1"/>
    </xf>
    <xf numFmtId="0" fontId="0" fillId="0" borderId="37" xfId="0" applyFill="1" applyBorder="1" applyAlignment="1">
      <alignment wrapText="1"/>
    </xf>
    <xf numFmtId="0" fontId="1" fillId="0" borderId="0" xfId="0" applyFont="1" applyFill="1" applyAlignment="1" applyProtection="1">
      <alignment wrapText="1"/>
    </xf>
    <xf numFmtId="2" fontId="20" fillId="5" borderId="50" xfId="0" applyNumberFormat="1" applyFont="1" applyFill="1" applyBorder="1" applyAlignment="1" applyProtection="1">
      <alignment horizontal="center" vertical="center"/>
    </xf>
    <xf numFmtId="0" fontId="21" fillId="0" borderId="92" xfId="0" applyFont="1" applyBorder="1" applyAlignment="1">
      <alignment horizontal="center" vertical="center"/>
    </xf>
    <xf numFmtId="0" fontId="21" fillId="0" borderId="93" xfId="0" applyFont="1" applyBorder="1" applyAlignment="1">
      <alignment horizontal="center" vertical="center"/>
    </xf>
    <xf numFmtId="1" fontId="1" fillId="0" borderId="0" xfId="0" applyNumberFormat="1" applyFont="1" applyFill="1" applyBorder="1" applyAlignment="1" applyProtection="1">
      <alignment wrapText="1"/>
    </xf>
    <xf numFmtId="49" fontId="2" fillId="0" borderId="12" xfId="0" applyNumberFormat="1" applyFont="1" applyFill="1" applyBorder="1" applyAlignment="1">
      <alignment wrapText="1"/>
    </xf>
    <xf numFmtId="0" fontId="0" fillId="0" borderId="6" xfId="0" applyBorder="1" applyAlignment="1">
      <alignment wrapText="1"/>
    </xf>
    <xf numFmtId="0" fontId="1" fillId="0" borderId="12" xfId="0" applyNumberFormat="1" applyFont="1" applyFill="1" applyBorder="1" applyAlignment="1">
      <alignment wrapText="1"/>
    </xf>
    <xf numFmtId="0" fontId="2" fillId="0" borderId="101" xfId="0" applyFont="1" applyBorder="1" applyAlignment="1" applyProtection="1">
      <alignment horizontal="left"/>
    </xf>
    <xf numFmtId="0" fontId="4" fillId="0" borderId="83" xfId="0" applyFont="1" applyBorder="1" applyAlignment="1">
      <alignment horizontal="left"/>
    </xf>
    <xf numFmtId="0" fontId="1" fillId="0" borderId="12" xfId="0" applyFont="1" applyBorder="1" applyAlignment="1">
      <alignment wrapText="1"/>
    </xf>
    <xf numFmtId="0" fontId="0" fillId="0" borderId="0" xfId="0" applyBorder="1" applyAlignment="1">
      <alignment wrapText="1"/>
    </xf>
    <xf numFmtId="49" fontId="1" fillId="0" borderId="12" xfId="0" applyNumberFormat="1" applyFont="1" applyFill="1" applyBorder="1" applyAlignment="1">
      <alignment wrapText="1"/>
    </xf>
    <xf numFmtId="1" fontId="2" fillId="0" borderId="0" xfId="0" applyNumberFormat="1" applyFont="1" applyFill="1" applyAlignment="1" applyProtection="1">
      <alignment horizontal="centerContinuous"/>
    </xf>
    <xf numFmtId="1" fontId="9" fillId="0" borderId="0" xfId="0" applyNumberFormat="1" applyFont="1" applyFill="1" applyAlignment="1" applyProtection="1">
      <alignment horizontal="centerContinuous"/>
    </xf>
    <xf numFmtId="0" fontId="2" fillId="0" borderId="0" xfId="0" applyFont="1" applyFill="1" applyAlignment="1" applyProtection="1">
      <alignment horizontal="centerContinuous"/>
    </xf>
    <xf numFmtId="2" fontId="22" fillId="0" borderId="0" xfId="0" applyNumberFormat="1" applyFont="1" applyFill="1" applyAlignment="1" applyProtection="1">
      <alignment horizontal="centerContinuous"/>
    </xf>
    <xf numFmtId="11" fontId="22" fillId="0" borderId="0" xfId="0" applyNumberFormat="1" applyFont="1" applyFill="1" applyAlignment="1">
      <alignment horizontal="centerContinuous" vertical="center"/>
    </xf>
    <xf numFmtId="0" fontId="28" fillId="0" borderId="0" xfId="0" applyFont="1" applyFill="1" applyAlignment="1" applyProtection="1">
      <alignment horizontal="left"/>
    </xf>
    <xf numFmtId="0" fontId="28" fillId="0" borderId="0" xfId="0" applyFont="1" applyFill="1" applyAlignment="1" applyProtection="1">
      <alignment horizontal="center"/>
    </xf>
    <xf numFmtId="2" fontId="23" fillId="0" borderId="0" xfId="0" applyNumberFormat="1" applyFont="1" applyFill="1" applyAlignment="1" applyProtection="1">
      <alignment horizontal="center"/>
    </xf>
    <xf numFmtId="11" fontId="23" fillId="0" borderId="0" xfId="0" applyNumberFormat="1" applyFont="1" applyFill="1" applyAlignment="1">
      <alignment horizontal="center"/>
    </xf>
    <xf numFmtId="1" fontId="1" fillId="0" borderId="14" xfId="0" applyNumberFormat="1" applyFont="1" applyFill="1" applyBorder="1" applyAlignment="1" applyProtection="1">
      <alignment horizontal="center"/>
    </xf>
    <xf numFmtId="1" fontId="16" fillId="0" borderId="4" xfId="0" applyNumberFormat="1" applyFont="1" applyFill="1" applyBorder="1" applyAlignment="1" applyProtection="1">
      <alignment horizontal="center"/>
    </xf>
    <xf numFmtId="11" fontId="23" fillId="0" borderId="4" xfId="0" applyNumberFormat="1" applyFont="1" applyFill="1" applyBorder="1" applyAlignment="1" applyProtection="1">
      <alignment horizontal="center"/>
    </xf>
    <xf numFmtId="11" fontId="23" fillId="0" borderId="89" xfId="0" applyNumberFormat="1" applyFont="1" applyFill="1" applyBorder="1" applyAlignment="1" applyProtection="1">
      <alignment horizontal="center"/>
    </xf>
    <xf numFmtId="0" fontId="1" fillId="0" borderId="12" xfId="0" applyFont="1" applyFill="1" applyBorder="1" applyAlignment="1" applyProtection="1">
      <alignment horizontal="center"/>
    </xf>
    <xf numFmtId="1" fontId="1" fillId="0" borderId="81" xfId="0" applyNumberFormat="1" applyFont="1" applyFill="1" applyBorder="1" applyAlignment="1" applyProtection="1">
      <alignment horizontal="center"/>
    </xf>
    <xf numFmtId="1" fontId="16" fillId="0" borderId="82" xfId="0" applyNumberFormat="1" applyFont="1" applyFill="1" applyBorder="1" applyAlignment="1" applyProtection="1">
      <alignment horizontal="center"/>
    </xf>
    <xf numFmtId="2" fontId="2" fillId="0" borderId="82" xfId="0" applyNumberFormat="1" applyFont="1" applyFill="1" applyBorder="1" applyAlignment="1" applyProtection="1">
      <alignment horizontal="center"/>
    </xf>
    <xf numFmtId="2" fontId="22" fillId="0" borderId="82" xfId="0" applyNumberFormat="1" applyFont="1" applyFill="1" applyBorder="1" applyAlignment="1" applyProtection="1">
      <alignment horizontal="center"/>
    </xf>
    <xf numFmtId="11" fontId="22" fillId="0" borderId="82" xfId="0" applyNumberFormat="1" applyFont="1" applyFill="1" applyBorder="1" applyAlignment="1" applyProtection="1">
      <alignment horizontal="center" wrapText="1"/>
    </xf>
    <xf numFmtId="11" fontId="22" fillId="0" borderId="54" xfId="0" applyNumberFormat="1" applyFont="1" applyFill="1" applyBorder="1" applyAlignment="1" applyProtection="1">
      <alignment horizontal="center"/>
    </xf>
    <xf numFmtId="1" fontId="2" fillId="0" borderId="81" xfId="0" applyNumberFormat="1" applyFont="1" applyFill="1" applyBorder="1" applyAlignment="1" applyProtection="1">
      <alignment horizontal="center"/>
    </xf>
    <xf numFmtId="1" fontId="9" fillId="0" borderId="82" xfId="0" applyNumberFormat="1" applyFont="1" applyFill="1" applyBorder="1" applyAlignment="1" applyProtection="1">
      <alignment horizontal="center"/>
    </xf>
    <xf numFmtId="0" fontId="2" fillId="0" borderId="99" xfId="0" applyFont="1" applyFill="1" applyBorder="1" applyAlignment="1" applyProtection="1">
      <alignment horizontal="center"/>
    </xf>
    <xf numFmtId="0" fontId="2" fillId="0" borderId="74" xfId="0" applyFont="1" applyFill="1" applyBorder="1" applyAlignment="1" applyProtection="1">
      <alignment horizontal="center"/>
    </xf>
    <xf numFmtId="0" fontId="2" fillId="0" borderId="83" xfId="0" applyFont="1" applyFill="1" applyBorder="1" applyAlignment="1" applyProtection="1">
      <alignment horizontal="left" vertical="center"/>
    </xf>
    <xf numFmtId="0" fontId="2" fillId="0" borderId="84" xfId="0" applyFont="1" applyFill="1" applyBorder="1" applyAlignment="1" applyProtection="1">
      <alignment horizontal="center" vertical="center" wrapText="1"/>
    </xf>
    <xf numFmtId="0" fontId="1" fillId="0" borderId="100" xfId="0" applyFont="1" applyFill="1" applyBorder="1" applyAlignment="1">
      <alignment horizontal="center" vertical="center" wrapText="1"/>
    </xf>
    <xf numFmtId="1" fontId="2" fillId="0" borderId="84" xfId="0" applyNumberFormat="1" applyFont="1" applyFill="1" applyBorder="1" applyAlignment="1" applyProtection="1">
      <alignment horizontal="center"/>
    </xf>
    <xf numFmtId="1" fontId="9" fillId="0" borderId="85" xfId="0" applyNumberFormat="1" applyFont="1" applyFill="1" applyBorder="1" applyAlignment="1" applyProtection="1">
      <alignment horizontal="center"/>
    </xf>
    <xf numFmtId="11" fontId="2" fillId="0" borderId="16" xfId="0" applyNumberFormat="1" applyFont="1" applyFill="1" applyBorder="1" applyAlignment="1" applyProtection="1">
      <alignment horizontal="center" vertical="center"/>
    </xf>
    <xf numFmtId="2" fontId="2" fillId="0" borderId="16" xfId="0" applyNumberFormat="1" applyFont="1" applyFill="1" applyBorder="1" applyAlignment="1" applyProtection="1">
      <alignment horizontal="center" vertical="center"/>
    </xf>
    <xf numFmtId="2" fontId="22" fillId="0" borderId="16" xfId="0" applyNumberFormat="1" applyFont="1" applyFill="1" applyBorder="1" applyAlignment="1" applyProtection="1">
      <alignment horizontal="center" vertical="center"/>
    </xf>
    <xf numFmtId="11" fontId="22" fillId="0" borderId="19" xfId="0" applyNumberFormat="1" applyFont="1" applyFill="1" applyBorder="1" applyAlignment="1" applyProtection="1">
      <alignment horizontal="center" vertical="center"/>
    </xf>
    <xf numFmtId="0" fontId="1" fillId="0" borderId="39" xfId="0" applyNumberFormat="1" applyFont="1" applyFill="1" applyBorder="1" applyAlignment="1">
      <alignment horizontal="center"/>
    </xf>
    <xf numFmtId="1" fontId="1" fillId="0" borderId="31" xfId="0" applyNumberFormat="1" applyFont="1" applyFill="1" applyBorder="1" applyAlignment="1" applyProtection="1">
      <alignment horizontal="center"/>
    </xf>
    <xf numFmtId="11" fontId="1" fillId="0" borderId="34" xfId="0" applyNumberFormat="1" applyFont="1" applyFill="1" applyBorder="1" applyAlignment="1">
      <alignment horizontal="center"/>
    </xf>
    <xf numFmtId="164" fontId="1" fillId="0" borderId="34" xfId="0" applyNumberFormat="1" applyFont="1" applyFill="1" applyBorder="1" applyAlignment="1">
      <alignment horizontal="center"/>
    </xf>
    <xf numFmtId="0" fontId="1" fillId="0" borderId="34" xfId="0" applyNumberFormat="1" applyFont="1" applyFill="1" applyBorder="1" applyAlignment="1">
      <alignment horizontal="center"/>
    </xf>
    <xf numFmtId="166" fontId="1" fillId="0" borderId="34" xfId="0" applyNumberFormat="1" applyFont="1" applyFill="1" applyBorder="1" applyAlignment="1">
      <alignment horizontal="center"/>
    </xf>
    <xf numFmtId="166" fontId="1" fillId="0" borderId="90" xfId="0" applyNumberFormat="1" applyFont="1" applyFill="1" applyBorder="1" applyAlignment="1">
      <alignment horizontal="center"/>
    </xf>
    <xf numFmtId="0" fontId="1" fillId="0" borderId="42" xfId="0" applyNumberFormat="1" applyFont="1" applyFill="1" applyBorder="1" applyAlignment="1">
      <alignment horizontal="center"/>
    </xf>
    <xf numFmtId="11" fontId="1" fillId="0" borderId="7" xfId="0" applyNumberFormat="1" applyFont="1" applyFill="1" applyBorder="1" applyAlignment="1" applyProtection="1">
      <alignment horizontal="center"/>
    </xf>
    <xf numFmtId="164" fontId="1" fillId="0" borderId="7" xfId="0" applyNumberFormat="1" applyFont="1" applyFill="1" applyBorder="1" applyAlignment="1">
      <alignment horizontal="center"/>
    </xf>
    <xf numFmtId="0" fontId="1" fillId="0" borderId="7" xfId="0" applyNumberFormat="1" applyFont="1" applyFill="1" applyBorder="1" applyAlignment="1">
      <alignment horizontal="center"/>
    </xf>
    <xf numFmtId="166" fontId="1" fillId="0" borderId="7" xfId="0" applyNumberFormat="1" applyFont="1" applyFill="1" applyBorder="1" applyAlignment="1">
      <alignment horizontal="center"/>
    </xf>
    <xf numFmtId="166" fontId="1" fillId="0" borderId="8" xfId="0" applyNumberFormat="1" applyFont="1" applyFill="1" applyBorder="1" applyAlignment="1">
      <alignment horizontal="center"/>
    </xf>
    <xf numFmtId="11" fontId="1" fillId="0" borderId="7" xfId="0" applyNumberFormat="1" applyFont="1" applyFill="1" applyBorder="1" applyAlignment="1">
      <alignment horizontal="center"/>
    </xf>
    <xf numFmtId="0" fontId="24" fillId="0" borderId="42" xfId="0" applyNumberFormat="1" applyFont="1" applyFill="1" applyBorder="1" applyAlignment="1">
      <alignment horizontal="center"/>
    </xf>
    <xf numFmtId="11" fontId="1" fillId="0" borderId="8" xfId="0" applyNumberFormat="1" applyFont="1" applyFill="1" applyBorder="1" applyAlignment="1">
      <alignment horizontal="center"/>
    </xf>
    <xf numFmtId="1" fontId="1" fillId="0" borderId="31" xfId="0" applyNumberFormat="1" applyFont="1" applyFill="1" applyBorder="1" applyAlignment="1">
      <alignment horizontal="center"/>
    </xf>
    <xf numFmtId="166" fontId="24" fillId="0" borderId="7" xfId="0" applyNumberFormat="1" applyFont="1" applyFill="1" applyBorder="1" applyAlignment="1">
      <alignment horizontal="center"/>
    </xf>
    <xf numFmtId="11" fontId="24" fillId="0" borderId="8" xfId="0" applyNumberFormat="1" applyFont="1" applyFill="1" applyBorder="1" applyAlignment="1">
      <alignment horizontal="center"/>
    </xf>
    <xf numFmtId="1" fontId="1" fillId="0" borderId="86" xfId="0" applyNumberFormat="1" applyFont="1" applyFill="1" applyBorder="1" applyAlignment="1" applyProtection="1">
      <alignment horizontal="center"/>
    </xf>
    <xf numFmtId="1" fontId="1" fillId="0" borderId="86" xfId="0" applyNumberFormat="1" applyFont="1" applyFill="1" applyBorder="1" applyAlignment="1">
      <alignment horizontal="center"/>
    </xf>
    <xf numFmtId="166" fontId="24" fillId="0" borderId="8" xfId="0" applyNumberFormat="1" applyFont="1" applyFill="1" applyBorder="1" applyAlignment="1">
      <alignment horizontal="center"/>
    </xf>
    <xf numFmtId="2" fontId="1" fillId="0" borderId="7" xfId="0" applyNumberFormat="1" applyFont="1" applyFill="1" applyBorder="1" applyAlignment="1" applyProtection="1">
      <alignment horizontal="center"/>
    </xf>
    <xf numFmtId="0" fontId="1" fillId="0" borderId="45" xfId="0" applyNumberFormat="1" applyFont="1" applyFill="1" applyBorder="1" applyAlignment="1">
      <alignment horizontal="center"/>
    </xf>
    <xf numFmtId="1" fontId="1" fillId="0" borderId="87" xfId="0" applyNumberFormat="1" applyFont="1" applyFill="1" applyBorder="1" applyAlignment="1" applyProtection="1">
      <alignment horizontal="center"/>
    </xf>
    <xf numFmtId="11" fontId="1" fillId="0" borderId="11" xfId="0" applyNumberFormat="1" applyFont="1" applyFill="1" applyBorder="1" applyAlignment="1">
      <alignment horizontal="center"/>
    </xf>
    <xf numFmtId="164" fontId="1" fillId="0" borderId="11" xfId="0" applyNumberFormat="1" applyFont="1" applyFill="1" applyBorder="1" applyAlignment="1">
      <alignment horizontal="center"/>
    </xf>
    <xf numFmtId="0" fontId="1" fillId="0" borderId="11" xfId="0" applyNumberFormat="1" applyFont="1" applyFill="1" applyBorder="1" applyAlignment="1">
      <alignment horizontal="center"/>
    </xf>
    <xf numFmtId="166" fontId="1" fillId="0" borderId="11" xfId="0" applyNumberFormat="1" applyFont="1" applyFill="1" applyBorder="1" applyAlignment="1">
      <alignment horizontal="center"/>
    </xf>
    <xf numFmtId="166" fontId="1" fillId="0" borderId="69" xfId="0" applyNumberFormat="1" applyFont="1" applyFill="1" applyBorder="1" applyAlignment="1">
      <alignment horizontal="center"/>
    </xf>
    <xf numFmtId="0" fontId="0" fillId="0" borderId="0" xfId="0" applyFill="1" applyAlignment="1">
      <alignment wrapText="1"/>
    </xf>
    <xf numFmtId="0" fontId="0" fillId="0" borderId="6" xfId="0" applyFill="1" applyBorder="1" applyAlignment="1">
      <alignment wrapText="1"/>
    </xf>
    <xf numFmtId="0" fontId="2" fillId="0" borderId="12" xfId="0" applyNumberFormat="1" applyFont="1" applyFill="1" applyBorder="1" applyAlignment="1">
      <alignment wrapText="1"/>
    </xf>
    <xf numFmtId="0" fontId="1" fillId="0" borderId="0" xfId="0" applyNumberFormat="1" applyFont="1" applyFill="1" applyBorder="1" applyAlignment="1">
      <alignment wrapText="1"/>
    </xf>
    <xf numFmtId="0" fontId="1" fillId="0" borderId="6" xfId="0" applyNumberFormat="1" applyFont="1" applyFill="1" applyBorder="1" applyAlignment="1">
      <alignment wrapText="1"/>
    </xf>
    <xf numFmtId="0" fontId="0" fillId="0" borderId="0" xfId="0" applyNumberFormat="1" applyFill="1" applyAlignment="1">
      <alignment wrapText="1"/>
    </xf>
    <xf numFmtId="0" fontId="0" fillId="0" borderId="6" xfId="0" applyNumberFormat="1" applyFill="1" applyBorder="1" applyAlignment="1">
      <alignment wrapText="1"/>
    </xf>
    <xf numFmtId="0" fontId="1" fillId="0" borderId="13" xfId="0" applyFont="1" applyFill="1" applyBorder="1" applyAlignment="1"/>
    <xf numFmtId="0" fontId="1" fillId="0" borderId="5" xfId="0" applyFont="1" applyFill="1" applyBorder="1" applyAlignment="1"/>
    <xf numFmtId="1" fontId="1" fillId="0" borderId="5" xfId="0" applyNumberFormat="1" applyFont="1" applyFill="1" applyBorder="1" applyAlignment="1"/>
    <xf numFmtId="1" fontId="16" fillId="0" borderId="5" xfId="0" applyNumberFormat="1" applyFont="1" applyFill="1" applyBorder="1" applyAlignment="1"/>
    <xf numFmtId="0" fontId="1" fillId="0" borderId="5" xfId="0" applyFont="1" applyFill="1" applyBorder="1" applyAlignment="1">
      <alignment horizontal="center"/>
    </xf>
    <xf numFmtId="2" fontId="1" fillId="0" borderId="5" xfId="0" applyNumberFormat="1" applyFont="1" applyFill="1" applyBorder="1" applyAlignment="1"/>
    <xf numFmtId="11" fontId="1" fillId="0" borderId="5" xfId="0" applyNumberFormat="1" applyFont="1" applyFill="1" applyBorder="1" applyAlignment="1"/>
    <xf numFmtId="11" fontId="1" fillId="0" borderId="48" xfId="0" applyNumberFormat="1" applyFont="1" applyFill="1" applyBorder="1" applyAlignment="1"/>
    <xf numFmtId="1" fontId="1" fillId="0" borderId="0" xfId="0" applyNumberFormat="1" applyFont="1" applyFill="1" applyAlignment="1">
      <alignment horizontal="center"/>
    </xf>
    <xf numFmtId="1" fontId="16" fillId="0" borderId="0" xfId="0" applyNumberFormat="1" applyFont="1" applyFill="1" applyAlignment="1">
      <alignment horizontal="center"/>
    </xf>
    <xf numFmtId="2" fontId="23" fillId="0" borderId="0" xfId="0" applyNumberFormat="1" applyFont="1" applyFill="1" applyAlignment="1">
      <alignment horizontal="center"/>
    </xf>
    <xf numFmtId="1" fontId="4" fillId="0" borderId="0" xfId="0" applyNumberFormat="1" applyFont="1" applyFill="1"/>
    <xf numFmtId="1" fontId="15" fillId="0" borderId="0" xfId="0" applyNumberFormat="1" applyFont="1" applyFill="1"/>
    <xf numFmtId="2" fontId="27" fillId="0" borderId="0" xfId="0" applyNumberFormat="1" applyFont="1" applyFill="1"/>
    <xf numFmtId="11" fontId="27" fillId="0" borderId="0" xfId="0" applyNumberFormat="1" applyFont="1" applyFill="1"/>
    <xf numFmtId="11" fontId="23" fillId="0" borderId="0" xfId="0" applyNumberFormat="1" applyFont="1" applyFill="1"/>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pageSetUpPr autoPageBreaks="0" fitToPage="1"/>
  </sheetPr>
  <dimension ref="A1:CP241"/>
  <sheetViews>
    <sheetView showGridLines="0" showRowColHeaders="0" tabSelected="1" showRuler="0" view="pageLayout" zoomScaleNormal="100" workbookViewId="0">
      <selection activeCell="C17" sqref="C17:E17"/>
    </sheetView>
  </sheetViews>
  <sheetFormatPr defaultColWidth="8.85546875" defaultRowHeight="12.75" customHeight="1" x14ac:dyDescent="0.2"/>
  <cols>
    <col min="1" max="1" width="1.5703125" style="195" customWidth="1"/>
    <col min="2" max="2" width="36.28515625" style="195" customWidth="1"/>
    <col min="3" max="3" width="16" style="195" customWidth="1"/>
    <col min="4" max="4" width="14.7109375" style="7" customWidth="1"/>
    <col min="5" max="5" width="11.42578125" style="7" customWidth="1"/>
    <col min="6" max="6" width="13.140625" style="7" customWidth="1"/>
    <col min="7" max="7" width="12" style="195" customWidth="1"/>
    <col min="8" max="8" width="12" style="70" customWidth="1"/>
    <col min="9" max="9" width="29.28515625" style="195" hidden="1" customWidth="1"/>
    <col min="10" max="10" width="12" style="195" hidden="1" customWidth="1"/>
    <col min="11" max="11" width="11.85546875" style="195" hidden="1" customWidth="1"/>
    <col min="12" max="12" width="12" hidden="1" customWidth="1"/>
    <col min="13" max="13" width="15.5703125" style="195" customWidth="1"/>
    <col min="14" max="14" width="11.42578125" style="195" customWidth="1"/>
    <col min="15" max="16" width="12.5703125" style="195" customWidth="1"/>
    <col min="17" max="17" width="13" style="195" customWidth="1"/>
    <col min="18" max="18" width="0.85546875" style="195" customWidth="1"/>
    <col min="19" max="16384" width="8.85546875" style="195"/>
  </cols>
  <sheetData>
    <row r="1" spans="1:13" s="70" customFormat="1" ht="16.5" customHeight="1" x14ac:dyDescent="0.25">
      <c r="A1" s="192"/>
      <c r="B1" s="193" t="s">
        <v>525</v>
      </c>
      <c r="C1" s="194"/>
      <c r="D1" s="194"/>
      <c r="E1" s="194"/>
      <c r="F1" s="107"/>
      <c r="I1" s="195"/>
      <c r="J1" s="195"/>
      <c r="K1" s="195"/>
      <c r="L1"/>
      <c r="M1" s="195"/>
    </row>
    <row r="2" spans="1:13" s="70" customFormat="1" ht="16.5" customHeight="1" x14ac:dyDescent="0.2">
      <c r="A2" s="192"/>
      <c r="B2" s="196" t="s">
        <v>569</v>
      </c>
      <c r="C2" s="194"/>
      <c r="D2" s="194"/>
      <c r="E2" s="194"/>
      <c r="F2" s="107"/>
      <c r="I2" s="195"/>
      <c r="J2" s="195"/>
      <c r="K2" s="195"/>
      <c r="L2"/>
      <c r="M2" s="195"/>
    </row>
    <row r="3" spans="1:13" s="70" customFormat="1" ht="9.75" customHeight="1" x14ac:dyDescent="0.2">
      <c r="A3" s="192"/>
      <c r="B3" s="196"/>
      <c r="C3" s="194"/>
      <c r="D3" s="194"/>
      <c r="E3" s="194"/>
      <c r="F3" s="107"/>
      <c r="I3" s="195"/>
      <c r="J3" s="195"/>
      <c r="K3" s="195"/>
      <c r="L3"/>
      <c r="M3" s="195"/>
    </row>
    <row r="4" spans="1:13" s="70" customFormat="1" ht="12.75" customHeight="1" x14ac:dyDescent="0.2">
      <c r="A4" s="192"/>
      <c r="B4" s="197" t="s">
        <v>118</v>
      </c>
      <c r="C4" s="194"/>
      <c r="D4" s="194"/>
      <c r="E4" s="194"/>
      <c r="F4" s="107"/>
      <c r="I4" s="195"/>
      <c r="J4" s="195"/>
      <c r="K4" s="195"/>
      <c r="L4"/>
      <c r="M4" s="195"/>
    </row>
    <row r="5" spans="1:13" ht="27.75" customHeight="1" x14ac:dyDescent="0.2">
      <c r="A5" s="198"/>
      <c r="B5" s="481" t="s">
        <v>524</v>
      </c>
      <c r="C5" s="482"/>
      <c r="D5" s="482"/>
      <c r="E5" s="482"/>
      <c r="F5" s="482"/>
      <c r="G5" s="483"/>
      <c r="H5" s="199"/>
    </row>
    <row r="6" spans="1:13" ht="25.5" customHeight="1" x14ac:dyDescent="0.2">
      <c r="A6" s="198"/>
      <c r="B6" s="481" t="s">
        <v>523</v>
      </c>
      <c r="C6" s="472"/>
      <c r="D6" s="472"/>
      <c r="E6" s="472"/>
      <c r="F6" s="472"/>
      <c r="G6" s="472"/>
      <c r="H6" s="199"/>
    </row>
    <row r="7" spans="1:13" ht="12.75" customHeight="1" x14ac:dyDescent="0.2">
      <c r="A7" s="198"/>
      <c r="B7" s="406" t="s">
        <v>0</v>
      </c>
      <c r="C7" s="404"/>
      <c r="D7" s="404"/>
      <c r="E7" s="404"/>
      <c r="F7" s="404"/>
      <c r="G7" s="405"/>
      <c r="H7" s="199"/>
    </row>
    <row r="8" spans="1:13" ht="12.75" customHeight="1" x14ac:dyDescent="0.2">
      <c r="A8" s="198"/>
      <c r="B8" s="406" t="s">
        <v>542</v>
      </c>
      <c r="C8" s="404"/>
      <c r="D8" s="404"/>
      <c r="E8" s="404"/>
      <c r="F8" s="404"/>
      <c r="G8" s="405"/>
      <c r="H8" s="199"/>
    </row>
    <row r="9" spans="1:13" ht="12.75" customHeight="1" x14ac:dyDescent="0.2">
      <c r="A9" s="198"/>
      <c r="B9" s="406" t="s">
        <v>543</v>
      </c>
      <c r="C9" s="404"/>
      <c r="D9" s="404"/>
      <c r="E9" s="404"/>
      <c r="F9" s="404"/>
      <c r="G9" s="405"/>
      <c r="H9" s="199"/>
    </row>
    <row r="10" spans="1:13" ht="12.75" customHeight="1" x14ac:dyDescent="0.2">
      <c r="A10" s="198"/>
      <c r="B10" s="406" t="s">
        <v>544</v>
      </c>
      <c r="C10" s="404"/>
      <c r="D10" s="404"/>
      <c r="E10" s="404"/>
      <c r="F10" s="404"/>
      <c r="G10" s="405"/>
      <c r="H10" s="199"/>
    </row>
    <row r="11" spans="1:13" ht="12.75" customHeight="1" x14ac:dyDescent="0.2">
      <c r="A11" s="198"/>
      <c r="B11" s="406" t="s">
        <v>546</v>
      </c>
      <c r="C11" s="423"/>
      <c r="D11" s="423"/>
      <c r="E11" s="423"/>
      <c r="F11" s="423"/>
      <c r="G11" s="424"/>
      <c r="H11" s="199"/>
    </row>
    <row r="12" spans="1:13" ht="12.75" customHeight="1" x14ac:dyDescent="0.2">
      <c r="A12" s="198"/>
      <c r="B12" s="406" t="s">
        <v>545</v>
      </c>
      <c r="C12" s="404"/>
      <c r="D12" s="404"/>
      <c r="E12" s="404"/>
      <c r="F12" s="404"/>
      <c r="G12" s="405"/>
      <c r="H12" s="199"/>
    </row>
    <row r="13" spans="1:13" ht="12.75" customHeight="1" x14ac:dyDescent="0.2">
      <c r="A13" s="198"/>
      <c r="B13" s="331"/>
      <c r="C13" s="332"/>
      <c r="D13" s="332"/>
      <c r="E13" s="332"/>
      <c r="F13" s="332"/>
      <c r="G13" s="333"/>
      <c r="H13" s="199"/>
    </row>
    <row r="14" spans="1:13" ht="5.25" customHeight="1" x14ac:dyDescent="0.2">
      <c r="A14" s="198"/>
      <c r="B14" s="198"/>
      <c r="C14" s="198"/>
      <c r="D14" s="198"/>
      <c r="E14" s="198"/>
      <c r="F14" s="195"/>
      <c r="H14" s="74"/>
    </row>
    <row r="15" spans="1:13" ht="12.75" customHeight="1" x14ac:dyDescent="0.2">
      <c r="A15" s="198"/>
      <c r="B15" s="200" t="s">
        <v>8</v>
      </c>
      <c r="C15" s="201"/>
      <c r="D15" s="201"/>
      <c r="E15" s="202"/>
      <c r="F15" s="203"/>
      <c r="G15" s="203"/>
      <c r="H15" s="204"/>
    </row>
    <row r="16" spans="1:13" ht="6" customHeight="1" thickBot="1" x14ac:dyDescent="0.25">
      <c r="A16" s="198"/>
      <c r="B16" s="205"/>
      <c r="C16" s="205"/>
      <c r="D16" s="192"/>
      <c r="E16" s="192"/>
      <c r="F16" s="70"/>
      <c r="H16" s="74"/>
      <c r="I16" s="70"/>
      <c r="J16" s="70"/>
      <c r="K16" s="70"/>
      <c r="M16" s="70"/>
    </row>
    <row r="17" spans="1:14" s="70" customFormat="1" ht="15" customHeight="1" thickTop="1" thickBot="1" x14ac:dyDescent="0.25">
      <c r="A17" s="192"/>
      <c r="B17" s="206" t="s">
        <v>9</v>
      </c>
      <c r="C17" s="487" t="s">
        <v>123</v>
      </c>
      <c r="D17" s="488"/>
      <c r="E17" s="489"/>
      <c r="F17" s="408" t="str">
        <f>IF(OR(C17=I95,C17=I53,C17=I109),"Model not applicable","")</f>
        <v/>
      </c>
      <c r="G17" s="408"/>
      <c r="H17" s="74"/>
      <c r="I17" s="195" t="s">
        <v>516</v>
      </c>
      <c r="J17" s="159" t="s">
        <v>3</v>
      </c>
      <c r="K17" s="107"/>
      <c r="L17"/>
    </row>
    <row r="18" spans="1:14" s="70" customFormat="1" ht="5.25" customHeight="1" thickTop="1" thickBot="1" x14ac:dyDescent="0.25">
      <c r="A18" s="192"/>
      <c r="B18" s="207"/>
      <c r="C18" s="208"/>
      <c r="D18" s="209"/>
      <c r="E18" s="192"/>
      <c r="H18" s="74"/>
      <c r="I18" s="195" t="s">
        <v>517</v>
      </c>
      <c r="K18" s="107"/>
      <c r="L18"/>
    </row>
    <row r="19" spans="1:14" s="70" customFormat="1" ht="15" customHeight="1" thickTop="1" thickBot="1" x14ac:dyDescent="0.25">
      <c r="A19" s="192"/>
      <c r="B19" s="210" t="s">
        <v>10</v>
      </c>
      <c r="C19" s="484" t="s">
        <v>516</v>
      </c>
      <c r="D19" s="485"/>
      <c r="E19" s="486"/>
      <c r="H19" s="74"/>
      <c r="I19" s="159" t="s">
        <v>11</v>
      </c>
      <c r="J19" s="490" t="s">
        <v>333</v>
      </c>
      <c r="K19" s="493" t="s">
        <v>334</v>
      </c>
      <c r="L19" s="117"/>
      <c r="M19"/>
      <c r="N19"/>
    </row>
    <row r="20" spans="1:14" s="70" customFormat="1" ht="5.25" customHeight="1" thickTop="1" thickBot="1" x14ac:dyDescent="0.25">
      <c r="A20" s="192"/>
      <c r="B20" s="207"/>
      <c r="C20" s="208"/>
      <c r="D20" s="209"/>
      <c r="E20" s="192"/>
      <c r="H20" s="74"/>
      <c r="J20" s="491"/>
      <c r="K20" s="494"/>
      <c r="L20" s="479" t="s">
        <v>203</v>
      </c>
      <c r="M20"/>
      <c r="N20"/>
    </row>
    <row r="21" spans="1:14" s="70" customFormat="1" ht="15" customHeight="1" thickTop="1" thickBot="1" x14ac:dyDescent="0.25">
      <c r="A21" s="192"/>
      <c r="B21" s="211" t="s">
        <v>12</v>
      </c>
      <c r="C21" s="212" t="s">
        <v>13</v>
      </c>
      <c r="D21" s="213" t="s">
        <v>14</v>
      </c>
      <c r="E21" s="192"/>
      <c r="H21" s="74"/>
      <c r="J21" s="492"/>
      <c r="K21" s="495"/>
      <c r="L21" s="480"/>
      <c r="M21"/>
      <c r="N21"/>
    </row>
    <row r="22" spans="1:14" s="70" customFormat="1" ht="15" customHeight="1" x14ac:dyDescent="0.2">
      <c r="A22" s="192"/>
      <c r="B22" s="214" t="s">
        <v>15</v>
      </c>
      <c r="C22" s="215" t="s">
        <v>16</v>
      </c>
      <c r="D22" s="216">
        <v>1000</v>
      </c>
      <c r="E22" s="192"/>
      <c r="H22" s="74"/>
      <c r="I22" s="412" t="s">
        <v>395</v>
      </c>
      <c r="J22" s="127"/>
      <c r="K22" s="128"/>
      <c r="L22" s="129">
        <v>0.2</v>
      </c>
      <c r="M22"/>
      <c r="N22"/>
    </row>
    <row r="23" spans="1:14" s="70" customFormat="1" ht="12" customHeight="1" x14ac:dyDescent="0.2">
      <c r="A23" s="192"/>
      <c r="B23" s="214" t="s">
        <v>17</v>
      </c>
      <c r="C23" s="217">
        <v>1.5</v>
      </c>
      <c r="D23" s="263">
        <v>1.5</v>
      </c>
      <c r="E23" s="192"/>
      <c r="H23" s="74"/>
      <c r="I23" s="66" t="s">
        <v>396</v>
      </c>
      <c r="J23" s="127"/>
      <c r="K23" s="128"/>
      <c r="L23" s="129">
        <v>0.2</v>
      </c>
      <c r="M23" s="195"/>
    </row>
    <row r="24" spans="1:14" s="70" customFormat="1" ht="12.75" customHeight="1" x14ac:dyDescent="0.2">
      <c r="A24" s="218"/>
      <c r="B24" s="214" t="s">
        <v>18</v>
      </c>
      <c r="C24" s="217">
        <v>2.65</v>
      </c>
      <c r="D24" s="263">
        <v>2.65</v>
      </c>
      <c r="E24" s="219" t="str">
        <f>IF(D24&lt;D23,"Particle density must exceed soil density.","")</f>
        <v/>
      </c>
      <c r="H24" s="74"/>
      <c r="I24" s="66" t="s">
        <v>397</v>
      </c>
      <c r="J24" s="127"/>
      <c r="K24" s="128"/>
      <c r="L24" s="129">
        <v>0.2</v>
      </c>
      <c r="M24" s="195"/>
    </row>
    <row r="25" spans="1:14" s="70" customFormat="1" ht="12.75" customHeight="1" x14ac:dyDescent="0.2">
      <c r="A25" s="192"/>
      <c r="B25" s="214" t="s">
        <v>414</v>
      </c>
      <c r="C25" s="217">
        <v>0.1</v>
      </c>
      <c r="D25" s="263">
        <v>0.1</v>
      </c>
      <c r="E25" s="220" t="str">
        <f>IF(D25&gt;0.28,"Maximum soil moisture = 0.28 mg/g","")</f>
        <v/>
      </c>
      <c r="H25" s="74"/>
      <c r="I25" s="66" t="s">
        <v>398</v>
      </c>
      <c r="J25" s="127">
        <v>9.9999999999999995E-7</v>
      </c>
      <c r="K25" s="128">
        <v>1.0000000000000001E-5</v>
      </c>
      <c r="L25" s="129">
        <v>0.2</v>
      </c>
      <c r="M25" s="195"/>
    </row>
    <row r="26" spans="1:14" s="70" customFormat="1" ht="12.75" customHeight="1" thickBot="1" x14ac:dyDescent="0.25">
      <c r="A26" s="192"/>
      <c r="B26" s="214" t="s">
        <v>415</v>
      </c>
      <c r="C26" s="221">
        <v>6.0000000000000001E-3</v>
      </c>
      <c r="D26" s="264">
        <v>6.0000000000000001E-3</v>
      </c>
      <c r="E26" s="192"/>
      <c r="H26" s="74"/>
      <c r="I26" s="66" t="s">
        <v>84</v>
      </c>
      <c r="J26" s="127"/>
      <c r="K26" s="128"/>
      <c r="L26" s="129">
        <v>0.2</v>
      </c>
      <c r="M26" s="195"/>
    </row>
    <row r="27" spans="1:14" s="70" customFormat="1" ht="11.25" customHeight="1" thickTop="1" x14ac:dyDescent="0.2">
      <c r="A27" s="192"/>
      <c r="B27" s="96" t="s">
        <v>33</v>
      </c>
      <c r="C27" s="222"/>
      <c r="D27" s="222"/>
      <c r="E27" s="192"/>
      <c r="H27" s="74"/>
      <c r="I27" s="66" t="s">
        <v>85</v>
      </c>
      <c r="J27" s="127"/>
      <c r="K27" s="128"/>
      <c r="L27" s="129">
        <v>0.2</v>
      </c>
      <c r="M27" s="195"/>
    </row>
    <row r="28" spans="1:14" s="70" customFormat="1" ht="4.5" customHeight="1" thickBot="1" x14ac:dyDescent="0.25">
      <c r="A28" s="192"/>
      <c r="B28" s="4"/>
      <c r="C28" s="4"/>
      <c r="D28" s="4"/>
      <c r="E28" s="192"/>
      <c r="H28" s="74"/>
      <c r="I28" s="130" t="s">
        <v>363</v>
      </c>
      <c r="J28" s="127"/>
      <c r="K28" s="128"/>
      <c r="L28" s="129">
        <v>0.2</v>
      </c>
    </row>
    <row r="29" spans="1:14" s="70" customFormat="1" ht="9.75" customHeight="1" thickTop="1" x14ac:dyDescent="0.2">
      <c r="A29" s="192"/>
      <c r="B29" s="463" t="s">
        <v>19</v>
      </c>
      <c r="C29" s="464"/>
      <c r="D29" s="465"/>
      <c r="H29" s="74"/>
      <c r="I29" s="66" t="s">
        <v>399</v>
      </c>
      <c r="J29" s="127"/>
      <c r="K29" s="128"/>
      <c r="L29" s="129">
        <v>0.2</v>
      </c>
    </row>
    <row r="30" spans="1:14" s="70" customFormat="1" ht="9" customHeight="1" thickBot="1" x14ac:dyDescent="0.25">
      <c r="A30" s="192"/>
      <c r="B30" s="466"/>
      <c r="C30" s="467"/>
      <c r="D30" s="468"/>
      <c r="H30" s="74"/>
      <c r="I30" s="66" t="s">
        <v>400</v>
      </c>
      <c r="J30" s="127"/>
      <c r="K30" s="128"/>
      <c r="L30" s="129">
        <v>0.2</v>
      </c>
    </row>
    <row r="31" spans="1:14" s="70" customFormat="1" ht="11.25" customHeight="1" thickTop="1" x14ac:dyDescent="0.2">
      <c r="A31" s="192"/>
      <c r="B31" s="469" t="s">
        <v>20</v>
      </c>
      <c r="C31" s="470"/>
      <c r="D31" s="470"/>
      <c r="H31" s="74"/>
      <c r="I31" s="66" t="s">
        <v>401</v>
      </c>
      <c r="J31" s="127">
        <v>9.9999999999999995E-7</v>
      </c>
      <c r="K31" s="128">
        <v>1.0000000000000001E-5</v>
      </c>
      <c r="L31" s="129">
        <v>0.2</v>
      </c>
    </row>
    <row r="32" spans="1:14" s="70" customFormat="1" ht="5.25" customHeight="1" thickBot="1" x14ac:dyDescent="0.25">
      <c r="A32" s="192"/>
      <c r="C32" s="64"/>
      <c r="D32" s="64"/>
      <c r="E32" s="192"/>
      <c r="H32" s="74"/>
      <c r="I32" s="66" t="s">
        <v>364</v>
      </c>
      <c r="J32" s="127">
        <v>9.9999999999999995E-7</v>
      </c>
      <c r="K32" s="128">
        <v>1.0000000000000001E-5</v>
      </c>
      <c r="L32" s="129">
        <v>0.2</v>
      </c>
    </row>
    <row r="33" spans="1:13" s="70" customFormat="1" ht="17.25" customHeight="1" thickTop="1" thickBot="1" x14ac:dyDescent="0.25">
      <c r="A33" s="192"/>
      <c r="B33" s="409" t="str">
        <f>C17</f>
        <v>POLYCHLORINATED BIPHENYLS (PCBs)</v>
      </c>
      <c r="C33" s="377"/>
      <c r="D33" s="378" t="s">
        <v>143</v>
      </c>
      <c r="E33" s="400"/>
      <c r="F33" s="401"/>
      <c r="G33" s="401"/>
      <c r="H33" s="199"/>
      <c r="I33" s="66" t="s">
        <v>402</v>
      </c>
      <c r="J33" s="127"/>
      <c r="K33" s="128"/>
      <c r="L33" s="129">
        <v>0.2</v>
      </c>
    </row>
    <row r="34" spans="1:13" s="70" customFormat="1" ht="12.75" customHeight="1" x14ac:dyDescent="0.2">
      <c r="A34" s="192"/>
      <c r="B34" s="381" t="str">
        <f>C19</f>
        <v>Unrestricted (Residential) Land Use</v>
      </c>
      <c r="C34" s="379" t="s">
        <v>21</v>
      </c>
      <c r="D34" s="380">
        <f>'Tier 2 Calculations Detailed'!C49</f>
        <v>0.22764936813451175</v>
      </c>
      <c r="E34" s="473" t="str">
        <f>IF('Tier 2 Calculations Detailed'!D133&lt;(MIN('Tier 2 Calculations Detailed'!C49:C51)),"*Construction/Trench Worker action level; refer to calculations worksheet.","")</f>
        <v/>
      </c>
      <c r="F34" s="472"/>
      <c r="G34" s="472"/>
      <c r="H34" s="199"/>
      <c r="I34" s="66" t="s">
        <v>403</v>
      </c>
      <c r="J34" s="127">
        <v>9.9999999999999995E-7</v>
      </c>
      <c r="K34" s="407">
        <v>9.9999999999999995E-7</v>
      </c>
      <c r="L34" s="129">
        <v>0.2</v>
      </c>
    </row>
    <row r="35" spans="1:13" s="70" customFormat="1" ht="12.75" customHeight="1" x14ac:dyDescent="0.2">
      <c r="A35" s="192"/>
      <c r="B35" s="381"/>
      <c r="C35" s="382" t="s">
        <v>514</v>
      </c>
      <c r="D35" s="380" t="str">
        <f>'Tier 2 Calculations Detailed'!C50</f>
        <v>-</v>
      </c>
      <c r="E35" s="474"/>
      <c r="F35" s="472"/>
      <c r="G35" s="472"/>
      <c r="H35" s="224"/>
      <c r="I35" s="66" t="s">
        <v>404</v>
      </c>
      <c r="J35" s="166">
        <v>1.0000000000000001E-5</v>
      </c>
      <c r="K35" s="413">
        <v>1.0000000000000001E-5</v>
      </c>
      <c r="L35" s="129">
        <v>0.2</v>
      </c>
    </row>
    <row r="36" spans="1:13" ht="13.5" customHeight="1" x14ac:dyDescent="0.2">
      <c r="A36" s="192"/>
      <c r="B36" s="383"/>
      <c r="C36" s="382" t="s">
        <v>22</v>
      </c>
      <c r="D36" s="380">
        <f>'Tier 2 Calculations Detailed'!C51</f>
        <v>1.1741947383207836</v>
      </c>
      <c r="E36" s="475" t="str">
        <f>IF(D37='Tier 2 Calculations Detailed'!D15,"Saturation Limit; refer to calculations worksheet.","")</f>
        <v/>
      </c>
      <c r="F36" s="472"/>
      <c r="G36" s="472"/>
      <c r="H36" s="74"/>
      <c r="I36" s="66" t="s">
        <v>405</v>
      </c>
      <c r="J36" s="166">
        <v>1.0000000000000001E-5</v>
      </c>
      <c r="K36" s="413">
        <v>1.0000000000000001E-5</v>
      </c>
      <c r="L36" s="129">
        <v>0.2</v>
      </c>
      <c r="M36" s="70"/>
    </row>
    <row r="37" spans="1:13" ht="15.75" customHeight="1" thickBot="1" x14ac:dyDescent="0.25">
      <c r="A37" s="198"/>
      <c r="B37" s="384"/>
      <c r="C37" s="385" t="s">
        <v>4</v>
      </c>
      <c r="D37" s="386">
        <f>IF(AND(D34="-",D35="-",D36="-"),"-",'Tier 2 Calculations Detailed'!C54)</f>
        <v>0.22764936813451175</v>
      </c>
      <c r="E37" s="474"/>
      <c r="F37" s="472"/>
      <c r="G37" s="472"/>
      <c r="H37" s="225"/>
      <c r="I37" s="66" t="s">
        <v>406</v>
      </c>
      <c r="J37" s="166">
        <v>1.0000000000000001E-5</v>
      </c>
      <c r="K37" s="413">
        <v>1.0000000000000001E-5</v>
      </c>
      <c r="L37" s="129">
        <v>0.2</v>
      </c>
      <c r="M37" s="70"/>
    </row>
    <row r="38" spans="1:13" s="70" customFormat="1" ht="12.75" customHeight="1" thickTop="1" x14ac:dyDescent="0.2">
      <c r="A38" s="192"/>
      <c r="B38" s="471" t="s">
        <v>570</v>
      </c>
      <c r="C38" s="464"/>
      <c r="D38" s="464"/>
      <c r="E38" s="402"/>
      <c r="F38" s="403"/>
      <c r="G38" s="403"/>
      <c r="H38" s="225"/>
      <c r="I38" s="66" t="s">
        <v>407</v>
      </c>
      <c r="J38" s="166"/>
      <c r="K38" s="413"/>
      <c r="L38" s="129">
        <v>0.2</v>
      </c>
    </row>
    <row r="39" spans="1:13" s="70" customFormat="1" ht="24.75" customHeight="1" x14ac:dyDescent="0.2">
      <c r="A39" s="192"/>
      <c r="B39" s="472"/>
      <c r="C39" s="472"/>
      <c r="D39" s="472"/>
      <c r="E39" s="403"/>
      <c r="F39" s="403"/>
      <c r="G39" s="403"/>
      <c r="H39" s="74"/>
      <c r="I39" s="66" t="s">
        <v>408</v>
      </c>
      <c r="J39" s="166">
        <v>1.0000000000000001E-5</v>
      </c>
      <c r="K39" s="413">
        <v>1.0000000000000001E-5</v>
      </c>
      <c r="L39" s="129">
        <v>0.2</v>
      </c>
    </row>
    <row r="40" spans="1:13" ht="12.75" customHeight="1" x14ac:dyDescent="0.2">
      <c r="A40" s="192"/>
      <c r="B40"/>
      <c r="C40"/>
      <c r="D40"/>
      <c r="E40" s="226"/>
      <c r="F40" s="70"/>
      <c r="G40" s="70"/>
      <c r="H40" s="74"/>
      <c r="I40" s="66" t="s">
        <v>91</v>
      </c>
      <c r="J40" s="127">
        <v>9.9999999999999995E-7</v>
      </c>
      <c r="K40" s="128">
        <v>1.0000000000000001E-5</v>
      </c>
      <c r="L40" s="129">
        <v>0.2</v>
      </c>
      <c r="M40" s="70"/>
    </row>
    <row r="41" spans="1:13" s="70" customFormat="1" ht="12.75" customHeight="1" x14ac:dyDescent="0.2">
      <c r="A41" s="192"/>
      <c r="B41" s="227"/>
      <c r="C41" s="227"/>
      <c r="D41" s="228"/>
      <c r="E41" s="228"/>
      <c r="F41" s="229"/>
      <c r="G41" s="228"/>
      <c r="H41" s="74"/>
      <c r="I41" s="66" t="s">
        <v>134</v>
      </c>
      <c r="J41" s="127"/>
      <c r="K41" s="128"/>
      <c r="L41" s="129">
        <v>0.2</v>
      </c>
    </row>
    <row r="42" spans="1:13" s="70" customFormat="1" ht="12.75" customHeight="1" x14ac:dyDescent="0.2">
      <c r="A42" s="192"/>
      <c r="B42" s="74"/>
      <c r="C42" s="230"/>
      <c r="D42" s="230"/>
      <c r="E42" s="231"/>
      <c r="F42" s="231"/>
      <c r="H42" s="236"/>
      <c r="I42" s="66" t="s">
        <v>92</v>
      </c>
      <c r="J42" s="127">
        <v>9.9999999999999995E-7</v>
      </c>
      <c r="K42" s="407">
        <v>9.9999999999999995E-7</v>
      </c>
      <c r="L42" s="129">
        <v>0.2</v>
      </c>
    </row>
    <row r="43" spans="1:13" s="70" customFormat="1" ht="12.75" customHeight="1" x14ac:dyDescent="0.2">
      <c r="A43" s="192"/>
      <c r="B43" s="232" t="s">
        <v>23</v>
      </c>
      <c r="C43" s="429"/>
      <c r="D43" s="233"/>
      <c r="F43" s="234" t="s">
        <v>24</v>
      </c>
      <c r="G43" s="431"/>
      <c r="H43" s="236"/>
      <c r="I43" s="66" t="s">
        <v>93</v>
      </c>
      <c r="J43" s="127">
        <v>9.9999999999999995E-7</v>
      </c>
      <c r="K43" s="407">
        <v>9.9999999999999995E-7</v>
      </c>
      <c r="L43" s="129">
        <v>0.2</v>
      </c>
    </row>
    <row r="44" spans="1:13" s="70" customFormat="1" ht="12.75" customHeight="1" x14ac:dyDescent="0.2">
      <c r="B44" s="198"/>
      <c r="C44" s="430"/>
      <c r="D44" s="237"/>
      <c r="F44" s="237"/>
      <c r="G44" s="430"/>
      <c r="H44" s="241"/>
      <c r="I44" s="66" t="s">
        <v>94</v>
      </c>
      <c r="J44" s="127">
        <v>9.9999999999999995E-7</v>
      </c>
      <c r="K44" s="128">
        <v>1.0000000000000001E-5</v>
      </c>
      <c r="L44" s="129">
        <v>0.2</v>
      </c>
    </row>
    <row r="45" spans="1:13" s="70" customFormat="1" ht="12.75" customHeight="1" x14ac:dyDescent="0.2">
      <c r="A45" s="195"/>
      <c r="B45" s="238" t="s">
        <v>25</v>
      </c>
      <c r="C45" s="239"/>
      <c r="D45" s="235"/>
      <c r="F45" s="240" t="s">
        <v>26</v>
      </c>
      <c r="G45" s="432"/>
      <c r="H45" s="192"/>
      <c r="I45" s="66" t="s">
        <v>95</v>
      </c>
      <c r="J45" s="127"/>
      <c r="K45" s="128"/>
      <c r="L45" s="129">
        <v>0.2</v>
      </c>
      <c r="M45" s="195"/>
    </row>
    <row r="46" spans="1:13" s="70" customFormat="1" ht="12.75" customHeight="1" x14ac:dyDescent="0.2">
      <c r="A46" s="195"/>
      <c r="B46" s="238" t="s">
        <v>27</v>
      </c>
      <c r="C46" s="239"/>
      <c r="D46" s="235"/>
      <c r="E46" s="240"/>
      <c r="F46" s="242"/>
      <c r="G46" s="198"/>
      <c r="H46" s="192"/>
      <c r="I46" s="66" t="s">
        <v>96</v>
      </c>
      <c r="J46" s="127">
        <v>9.9999999999999995E-7</v>
      </c>
      <c r="K46" s="407">
        <v>9.9999999999999995E-7</v>
      </c>
      <c r="L46" s="129">
        <v>0.2</v>
      </c>
      <c r="M46" s="195"/>
    </row>
    <row r="47" spans="1:13" s="70" customFormat="1" ht="12.75" customHeight="1" x14ac:dyDescent="0.2">
      <c r="A47" s="195"/>
      <c r="B47" s="238" t="s">
        <v>28</v>
      </c>
      <c r="C47" s="239"/>
      <c r="D47" s="235"/>
      <c r="E47" s="243"/>
      <c r="F47" s="237"/>
      <c r="G47" s="198"/>
      <c r="H47" s="192"/>
      <c r="I47" s="66" t="s">
        <v>97</v>
      </c>
      <c r="J47" s="127">
        <v>9.9999999999999995E-7</v>
      </c>
      <c r="K47" s="128">
        <v>1.0000000000000001E-5</v>
      </c>
      <c r="L47" s="129">
        <v>0.2</v>
      </c>
    </row>
    <row r="48" spans="1:13" ht="12.75" customHeight="1" x14ac:dyDescent="0.2">
      <c r="B48" s="238"/>
      <c r="C48" s="244"/>
      <c r="D48" s="245"/>
      <c r="E48" s="243"/>
      <c r="F48" s="237"/>
      <c r="G48" s="198"/>
      <c r="H48" s="192"/>
      <c r="I48" s="66" t="s">
        <v>98</v>
      </c>
      <c r="J48" s="127"/>
      <c r="K48" s="128"/>
      <c r="L48" s="129">
        <v>0.2</v>
      </c>
      <c r="M48" s="70"/>
    </row>
    <row r="49" spans="1:13" ht="12.75" customHeight="1" x14ac:dyDescent="0.2">
      <c r="B49" s="140" t="s">
        <v>29</v>
      </c>
      <c r="C49" s="244"/>
      <c r="D49" s="245"/>
      <c r="E49" s="243"/>
      <c r="F49" s="237"/>
      <c r="G49" s="198"/>
      <c r="H49" s="192"/>
      <c r="I49" s="66" t="s">
        <v>99</v>
      </c>
      <c r="J49" s="127">
        <v>9.9999999999999995E-7</v>
      </c>
      <c r="K49" s="128">
        <v>1.0000000000000001E-5</v>
      </c>
      <c r="L49" s="129">
        <v>0.2</v>
      </c>
    </row>
    <row r="50" spans="1:13" ht="57" customHeight="1" x14ac:dyDescent="0.2">
      <c r="B50" s="478"/>
      <c r="C50" s="472"/>
      <c r="D50" s="472"/>
      <c r="E50" s="472"/>
      <c r="F50" s="472"/>
      <c r="G50" s="472"/>
      <c r="H50" s="192"/>
      <c r="I50" s="66" t="s">
        <v>100</v>
      </c>
      <c r="J50" s="127">
        <v>9.9999999999999995E-7</v>
      </c>
      <c r="K50" s="407">
        <v>9.9999999999999995E-7</v>
      </c>
      <c r="L50" s="129">
        <v>0.2</v>
      </c>
      <c r="M50" s="70"/>
    </row>
    <row r="51" spans="1:13" ht="27.75" customHeight="1" x14ac:dyDescent="0.2">
      <c r="B51" s="228"/>
      <c r="C51" s="228"/>
      <c r="D51" s="246"/>
      <c r="E51" s="228"/>
      <c r="F51" s="228"/>
      <c r="G51" s="228"/>
      <c r="H51" s="192"/>
      <c r="I51" s="66" t="s">
        <v>328</v>
      </c>
      <c r="J51" s="127">
        <v>9.9999999999999995E-7</v>
      </c>
      <c r="K51" s="407">
        <v>9.9999999999999995E-7</v>
      </c>
      <c r="L51" s="129">
        <v>0.2</v>
      </c>
      <c r="M51" s="70"/>
    </row>
    <row r="52" spans="1:13" ht="17.25" customHeight="1" x14ac:dyDescent="0.2">
      <c r="B52" s="247" t="s">
        <v>118</v>
      </c>
      <c r="C52" s="198"/>
      <c r="D52" s="198"/>
      <c r="E52" s="198"/>
      <c r="F52" s="198"/>
      <c r="G52" s="198"/>
      <c r="H52" s="248"/>
      <c r="I52" s="412" t="s">
        <v>103</v>
      </c>
      <c r="J52" s="127">
        <v>9.9999999999999995E-7</v>
      </c>
      <c r="K52" s="407">
        <v>9.9999999999999995E-7</v>
      </c>
      <c r="L52" s="129">
        <v>0.2</v>
      </c>
      <c r="M52" s="70"/>
    </row>
    <row r="53" spans="1:13" ht="67.5" customHeight="1" x14ac:dyDescent="0.2">
      <c r="B53" s="462" t="s">
        <v>571</v>
      </c>
      <c r="C53" s="462"/>
      <c r="D53" s="462"/>
      <c r="E53" s="462"/>
      <c r="F53" s="462"/>
      <c r="G53" s="462"/>
      <c r="H53" s="249"/>
      <c r="I53" s="66" t="s">
        <v>329</v>
      </c>
      <c r="J53" s="127">
        <v>9.9999999999999995E-7</v>
      </c>
      <c r="K53" s="407">
        <v>9.9999999999999995E-7</v>
      </c>
      <c r="L53" s="129">
        <v>0.2</v>
      </c>
      <c r="M53" s="70"/>
    </row>
    <row r="54" spans="1:13" ht="12.75" customHeight="1" x14ac:dyDescent="0.2">
      <c r="A54" s="231"/>
      <c r="B54" s="198"/>
      <c r="C54" s="198"/>
      <c r="D54" s="223"/>
      <c r="E54" s="223"/>
      <c r="F54" s="223"/>
      <c r="G54" s="237"/>
      <c r="H54" s="253"/>
      <c r="I54" s="66" t="s">
        <v>104</v>
      </c>
      <c r="J54" s="127"/>
      <c r="K54" s="128"/>
      <c r="L54" s="129">
        <v>0.2</v>
      </c>
      <c r="M54" s="70"/>
    </row>
    <row r="55" spans="1:13" ht="14.25" customHeight="1" x14ac:dyDescent="0.2">
      <c r="A55" s="231"/>
      <c r="B55" s="250" t="s">
        <v>166</v>
      </c>
      <c r="C55" s="251"/>
      <c r="D55" s="251"/>
      <c r="E55" s="252"/>
      <c r="F55" s="252"/>
      <c r="G55" s="251"/>
      <c r="H55" s="254"/>
      <c r="I55" s="66" t="s">
        <v>260</v>
      </c>
      <c r="J55" s="127">
        <v>9.9999999999999995E-7</v>
      </c>
      <c r="K55" s="128">
        <v>1.0000000000000001E-5</v>
      </c>
      <c r="L55" s="129">
        <v>0.2</v>
      </c>
      <c r="M55" s="70"/>
    </row>
    <row r="56" spans="1:13" ht="40.5" customHeight="1" x14ac:dyDescent="0.2">
      <c r="A56" s="231"/>
      <c r="B56" s="476" t="s">
        <v>565</v>
      </c>
      <c r="C56" s="477"/>
      <c r="D56" s="477"/>
      <c r="E56" s="477"/>
      <c r="F56" s="477"/>
      <c r="G56" s="477"/>
      <c r="H56" s="120"/>
      <c r="I56" s="66" t="s">
        <v>326</v>
      </c>
      <c r="J56" s="127"/>
      <c r="K56" s="128"/>
      <c r="L56" s="129">
        <v>0.2</v>
      </c>
    </row>
    <row r="57" spans="1:13" s="231" customFormat="1" ht="9" customHeight="1" x14ac:dyDescent="0.2">
      <c r="B57" s="4"/>
      <c r="C57" s="4"/>
      <c r="D57" s="4"/>
      <c r="E57" s="4"/>
      <c r="F57" s="4"/>
      <c r="G57" s="4"/>
      <c r="H57" s="144"/>
      <c r="I57" s="66" t="s">
        <v>327</v>
      </c>
      <c r="J57" s="127">
        <v>9.9999999999999995E-7</v>
      </c>
      <c r="K57" s="128">
        <v>1.0000000000000001E-5</v>
      </c>
      <c r="L57" s="129">
        <v>0.2</v>
      </c>
      <c r="M57" s="195"/>
    </row>
    <row r="58" spans="1:13" s="231" customFormat="1" ht="40.5" customHeight="1" x14ac:dyDescent="0.2">
      <c r="B58" s="460" t="s">
        <v>30</v>
      </c>
      <c r="C58" s="461"/>
      <c r="D58" s="461"/>
      <c r="E58" s="461"/>
      <c r="F58" s="461"/>
      <c r="G58" s="461"/>
      <c r="H58" s="255"/>
      <c r="I58" s="66" t="s">
        <v>105</v>
      </c>
      <c r="J58" s="166">
        <v>1.0000000000000001E-5</v>
      </c>
      <c r="K58" s="128">
        <v>1.0000000000000001E-5</v>
      </c>
      <c r="L58" s="129">
        <v>0.2</v>
      </c>
      <c r="M58" s="195"/>
    </row>
    <row r="59" spans="1:13" s="231" customFormat="1" ht="9" customHeight="1" x14ac:dyDescent="0.2">
      <c r="B59" s="195"/>
      <c r="C59" s="195"/>
      <c r="D59" s="7"/>
      <c r="E59" s="7"/>
      <c r="F59" s="7"/>
      <c r="H59" s="144"/>
      <c r="I59" s="66" t="s">
        <v>106</v>
      </c>
      <c r="J59" s="127">
        <v>9.9999999999999995E-7</v>
      </c>
      <c r="K59" s="128">
        <v>1.0000000000000001E-5</v>
      </c>
      <c r="L59" s="129">
        <v>0.2</v>
      </c>
      <c r="M59" s="195"/>
    </row>
    <row r="60" spans="1:13" s="231" customFormat="1" ht="12.75" customHeight="1" x14ac:dyDescent="0.2">
      <c r="B60" s="460" t="s">
        <v>566</v>
      </c>
      <c r="C60" s="461"/>
      <c r="D60" s="461"/>
      <c r="E60" s="461"/>
      <c r="F60" s="461"/>
      <c r="G60" s="461"/>
      <c r="H60" s="144"/>
      <c r="I60" s="66" t="s">
        <v>107</v>
      </c>
      <c r="J60" s="127"/>
      <c r="K60" s="128"/>
      <c r="L60" s="129">
        <v>0.2</v>
      </c>
      <c r="M60" s="195"/>
    </row>
    <row r="61" spans="1:13" s="231" customFormat="1" ht="15.75" customHeight="1" x14ac:dyDescent="0.2">
      <c r="B61" s="461"/>
      <c r="C61" s="461"/>
      <c r="D61" s="461"/>
      <c r="E61" s="461"/>
      <c r="F61" s="461"/>
      <c r="G61" s="461"/>
      <c r="H61" s="255"/>
      <c r="I61" s="66" t="s">
        <v>108</v>
      </c>
      <c r="J61" s="127"/>
      <c r="K61" s="128"/>
      <c r="L61" s="129">
        <v>0.2</v>
      </c>
      <c r="M61" s="195"/>
    </row>
    <row r="62" spans="1:13" s="231" customFormat="1" ht="12.75" customHeight="1" x14ac:dyDescent="0.2">
      <c r="B62" s="195"/>
      <c r="C62" s="195"/>
      <c r="D62" s="7"/>
      <c r="E62" s="7"/>
      <c r="F62" s="7"/>
      <c r="H62" s="70"/>
      <c r="I62" s="130" t="s">
        <v>365</v>
      </c>
      <c r="J62" s="127">
        <v>9.9999999999999995E-7</v>
      </c>
      <c r="K62" s="128">
        <v>1.0000000000000001E-5</v>
      </c>
      <c r="L62" s="129">
        <v>0.2</v>
      </c>
      <c r="M62" s="195"/>
    </row>
    <row r="63" spans="1:13" s="231" customFormat="1" ht="12.75" customHeight="1" x14ac:dyDescent="0.2">
      <c r="B63" s="195"/>
      <c r="C63" s="195"/>
      <c r="D63" s="7"/>
      <c r="E63" s="7"/>
      <c r="F63" s="7"/>
      <c r="G63" s="195"/>
      <c r="H63" s="70"/>
      <c r="I63" s="66" t="s">
        <v>366</v>
      </c>
      <c r="J63" s="127"/>
      <c r="K63" s="128"/>
      <c r="L63" s="129">
        <v>0.2</v>
      </c>
      <c r="M63" s="195"/>
    </row>
    <row r="64" spans="1:13" s="231" customFormat="1" ht="12.75" customHeight="1" x14ac:dyDescent="0.2">
      <c r="A64" s="195"/>
      <c r="B64" s="195"/>
      <c r="C64" s="195"/>
      <c r="D64" s="7"/>
      <c r="E64" s="7"/>
      <c r="F64" s="7"/>
      <c r="G64" s="195"/>
      <c r="H64" s="70"/>
      <c r="I64" s="66" t="s">
        <v>109</v>
      </c>
      <c r="J64" s="127">
        <v>1.0000000000000001E-5</v>
      </c>
      <c r="K64" s="128">
        <v>1.0000000000000001E-5</v>
      </c>
      <c r="L64" s="129">
        <v>0.2</v>
      </c>
      <c r="M64" s="195"/>
    </row>
    <row r="65" spans="1:94" s="231" customFormat="1" ht="12.75" customHeight="1" x14ac:dyDescent="0.2">
      <c r="A65" s="195"/>
      <c r="B65" s="195"/>
      <c r="C65" s="195"/>
      <c r="D65" s="7"/>
      <c r="E65" s="7"/>
      <c r="F65" s="7"/>
      <c r="G65" s="195"/>
      <c r="H65" s="70"/>
      <c r="I65" s="66" t="s">
        <v>205</v>
      </c>
      <c r="J65" s="127">
        <v>9.9999999999999995E-7</v>
      </c>
      <c r="K65" s="407">
        <v>9.9999999999999995E-7</v>
      </c>
      <c r="L65" s="129">
        <v>0.2</v>
      </c>
      <c r="M65" s="195"/>
    </row>
    <row r="66" spans="1:94" s="231" customFormat="1" ht="12.75" customHeight="1" x14ac:dyDescent="0.2">
      <c r="A66" s="195"/>
      <c r="B66" s="195"/>
      <c r="C66" s="195"/>
      <c r="D66" s="7"/>
      <c r="E66" s="7"/>
      <c r="F66" s="7"/>
      <c r="G66" s="195"/>
      <c r="H66" s="70"/>
      <c r="I66" s="66" t="s">
        <v>110</v>
      </c>
      <c r="J66" s="127">
        <v>9.9999999999999995E-7</v>
      </c>
      <c r="K66" s="407">
        <v>9.9999999999999995E-7</v>
      </c>
      <c r="L66" s="129">
        <v>0.2</v>
      </c>
      <c r="M66" s="195"/>
    </row>
    <row r="67" spans="1:94" ht="12.75" customHeight="1" x14ac:dyDescent="0.2">
      <c r="I67" s="66" t="s">
        <v>117</v>
      </c>
      <c r="J67" s="127">
        <v>9.9999999999999995E-7</v>
      </c>
      <c r="K67" s="407">
        <v>9.9999999999999995E-7</v>
      </c>
      <c r="L67" s="129">
        <v>0.2</v>
      </c>
    </row>
    <row r="68" spans="1:94" ht="12.75" customHeight="1" x14ac:dyDescent="0.2">
      <c r="I68" s="66" t="s">
        <v>111</v>
      </c>
      <c r="J68" s="127"/>
      <c r="K68" s="128"/>
      <c r="L68" s="129">
        <v>0.2</v>
      </c>
      <c r="M68" s="231"/>
    </row>
    <row r="69" spans="1:94" ht="12.75" customHeight="1" x14ac:dyDescent="0.2">
      <c r="I69" s="66" t="s">
        <v>128</v>
      </c>
      <c r="J69" s="127"/>
      <c r="K69" s="128"/>
      <c r="L69" s="129">
        <v>0.2</v>
      </c>
      <c r="M69" s="231"/>
    </row>
    <row r="70" spans="1:94" ht="12.75" customHeight="1" x14ac:dyDescent="0.2">
      <c r="I70" s="66" t="s">
        <v>129</v>
      </c>
      <c r="J70" s="127">
        <v>9.9999999999999995E-7</v>
      </c>
      <c r="K70" s="407">
        <v>9.9999999999999995E-7</v>
      </c>
      <c r="L70" s="129">
        <v>0.2</v>
      </c>
      <c r="M70" s="231"/>
    </row>
    <row r="71" spans="1:94" ht="12.75" customHeight="1" x14ac:dyDescent="0.2">
      <c r="I71" s="66" t="s">
        <v>130</v>
      </c>
      <c r="J71" s="127">
        <v>9.9999999999999995E-7</v>
      </c>
      <c r="K71" s="128">
        <v>1.0000000000000001E-5</v>
      </c>
      <c r="L71" s="129">
        <v>0.2</v>
      </c>
      <c r="M71" s="231"/>
    </row>
    <row r="72" spans="1:94" ht="12.75" customHeight="1" x14ac:dyDescent="0.2">
      <c r="I72" s="66" t="s">
        <v>119</v>
      </c>
      <c r="J72" s="127">
        <v>9.9999999999999995E-7</v>
      </c>
      <c r="K72" s="128">
        <v>1.0000000000000001E-5</v>
      </c>
      <c r="L72" s="129">
        <v>0.2</v>
      </c>
      <c r="M72" s="231"/>
    </row>
    <row r="73" spans="1:94" ht="12.75" customHeight="1" x14ac:dyDescent="0.2">
      <c r="I73" s="66" t="s">
        <v>120</v>
      </c>
      <c r="J73" s="127">
        <v>9.9999999999999995E-7</v>
      </c>
      <c r="K73" s="128">
        <v>1.0000000000000001E-5</v>
      </c>
      <c r="L73" s="129">
        <v>0.2</v>
      </c>
      <c r="M73" s="231"/>
      <c r="CA73" s="70"/>
      <c r="CB73" s="70"/>
      <c r="CC73" s="70"/>
      <c r="CD73" s="70"/>
      <c r="CE73" s="70"/>
      <c r="CF73" s="70"/>
      <c r="CG73" s="70"/>
      <c r="CH73" s="70"/>
      <c r="CI73" s="70"/>
      <c r="CJ73" s="70"/>
      <c r="CK73" s="70"/>
      <c r="CL73" s="70"/>
      <c r="CM73" s="70"/>
      <c r="CN73" s="70"/>
      <c r="CO73" s="70"/>
      <c r="CP73" s="70"/>
    </row>
    <row r="74" spans="1:94" ht="12.75" customHeight="1" x14ac:dyDescent="0.2">
      <c r="I74" s="66" t="s">
        <v>121</v>
      </c>
      <c r="J74" s="127">
        <v>9.9999999999999995E-7</v>
      </c>
      <c r="K74" s="128">
        <v>1.0000000000000001E-5</v>
      </c>
      <c r="L74" s="129">
        <v>0.2</v>
      </c>
      <c r="M74" s="231"/>
      <c r="CA74" s="70"/>
      <c r="CB74" s="70"/>
      <c r="CC74" s="70"/>
      <c r="CD74" s="70"/>
      <c r="CE74" s="70"/>
      <c r="CF74" s="70"/>
      <c r="CG74" s="70"/>
      <c r="CH74" s="70"/>
      <c r="CI74" s="70"/>
      <c r="CJ74" s="70"/>
      <c r="CK74" s="70"/>
      <c r="CL74" s="70"/>
      <c r="CM74" s="70"/>
      <c r="CN74" s="70"/>
      <c r="CO74" s="70"/>
      <c r="CP74" s="70"/>
    </row>
    <row r="75" spans="1:94" ht="12.75" customHeight="1" x14ac:dyDescent="0.2">
      <c r="I75" s="66" t="s">
        <v>135</v>
      </c>
      <c r="J75" s="127">
        <v>9.9999999999999995E-7</v>
      </c>
      <c r="K75" s="407">
        <v>9.9999999999999995E-7</v>
      </c>
      <c r="L75" s="129">
        <v>0.2</v>
      </c>
      <c r="M75" s="231"/>
    </row>
    <row r="76" spans="1:94" ht="12.75" customHeight="1" x14ac:dyDescent="0.2">
      <c r="I76" s="66" t="s">
        <v>136</v>
      </c>
      <c r="J76" s="127">
        <v>9.9999999999999995E-7</v>
      </c>
      <c r="K76" s="407">
        <v>9.9999999999999995E-7</v>
      </c>
      <c r="L76" s="129">
        <v>0.2</v>
      </c>
      <c r="M76" s="231"/>
    </row>
    <row r="77" spans="1:94" ht="12.75" customHeight="1" x14ac:dyDescent="0.2">
      <c r="I77" s="66" t="s">
        <v>318</v>
      </c>
      <c r="J77" s="127"/>
      <c r="K77" s="128"/>
      <c r="L77" s="129">
        <v>0.2</v>
      </c>
      <c r="M77" s="231"/>
    </row>
    <row r="78" spans="1:94" ht="12.75" customHeight="1" x14ac:dyDescent="0.2">
      <c r="I78" s="66" t="s">
        <v>319</v>
      </c>
      <c r="J78" s="127"/>
      <c r="K78" s="128"/>
      <c r="L78" s="129">
        <v>0.2</v>
      </c>
    </row>
    <row r="79" spans="1:94" ht="12.75" customHeight="1" x14ac:dyDescent="0.2">
      <c r="I79" s="66" t="s">
        <v>131</v>
      </c>
      <c r="J79" s="127"/>
      <c r="K79" s="128"/>
      <c r="L79" s="129">
        <v>0.2</v>
      </c>
    </row>
    <row r="80" spans="1:94" ht="12.75" customHeight="1" x14ac:dyDescent="0.2">
      <c r="I80" s="66" t="s">
        <v>301</v>
      </c>
      <c r="J80" s="127"/>
      <c r="K80" s="128"/>
      <c r="L80" s="129">
        <v>0.2</v>
      </c>
    </row>
    <row r="81" spans="9:12" ht="12.75" customHeight="1" x14ac:dyDescent="0.2">
      <c r="I81" s="66" t="s">
        <v>367</v>
      </c>
      <c r="J81" s="127"/>
      <c r="K81" s="128"/>
      <c r="L81" s="129">
        <v>0.2</v>
      </c>
    </row>
    <row r="82" spans="9:12" ht="12.75" customHeight="1" x14ac:dyDescent="0.2">
      <c r="I82" s="66" t="s">
        <v>302</v>
      </c>
      <c r="J82" s="127">
        <v>9.9999999999999995E-7</v>
      </c>
      <c r="K82" s="407">
        <v>9.9999999999999995E-7</v>
      </c>
      <c r="L82" s="129">
        <v>0.2</v>
      </c>
    </row>
    <row r="83" spans="9:12" ht="12.75" customHeight="1" x14ac:dyDescent="0.2">
      <c r="I83" s="66" t="s">
        <v>320</v>
      </c>
      <c r="J83" s="127">
        <v>9.9999999999999995E-7</v>
      </c>
      <c r="K83" s="407">
        <v>9.9999999999999995E-7</v>
      </c>
      <c r="L83" s="129">
        <v>0.2</v>
      </c>
    </row>
    <row r="84" spans="9:12" ht="12.75" customHeight="1" x14ac:dyDescent="0.2">
      <c r="I84" s="66" t="s">
        <v>303</v>
      </c>
      <c r="J84" s="127">
        <v>9.9999999999999995E-7</v>
      </c>
      <c r="K84" s="128">
        <v>1.0000000000000001E-5</v>
      </c>
      <c r="L84" s="129">
        <v>0.2</v>
      </c>
    </row>
    <row r="85" spans="9:12" ht="12.75" customHeight="1" x14ac:dyDescent="0.2">
      <c r="I85" s="66" t="s">
        <v>304</v>
      </c>
      <c r="J85" s="127"/>
      <c r="K85" s="128"/>
      <c r="L85" s="129">
        <v>0.2</v>
      </c>
    </row>
    <row r="86" spans="9:12" ht="12.75" customHeight="1" x14ac:dyDescent="0.2">
      <c r="I86" s="66" t="s">
        <v>306</v>
      </c>
      <c r="J86" s="127"/>
      <c r="K86" s="128"/>
      <c r="L86" s="129">
        <v>0.2</v>
      </c>
    </row>
    <row r="87" spans="9:12" ht="12.75" customHeight="1" x14ac:dyDescent="0.2">
      <c r="I87" s="66" t="s">
        <v>305</v>
      </c>
      <c r="J87" s="127"/>
      <c r="K87" s="128"/>
      <c r="L87" s="129">
        <v>0.2</v>
      </c>
    </row>
    <row r="88" spans="9:12" ht="12.75" customHeight="1" x14ac:dyDescent="0.2">
      <c r="I88" s="130" t="s">
        <v>368</v>
      </c>
      <c r="J88" s="127"/>
      <c r="K88" s="128"/>
      <c r="L88" s="129">
        <v>0.2</v>
      </c>
    </row>
    <row r="89" spans="9:12" ht="12.75" customHeight="1" x14ac:dyDescent="0.2">
      <c r="I89" s="66" t="s">
        <v>321</v>
      </c>
      <c r="J89" s="127"/>
      <c r="K89" s="128"/>
      <c r="L89" s="129">
        <v>0.2</v>
      </c>
    </row>
    <row r="90" spans="9:12" ht="12.75" customHeight="1" x14ac:dyDescent="0.2">
      <c r="I90" s="130" t="s">
        <v>369</v>
      </c>
      <c r="J90" s="127"/>
      <c r="K90" s="128"/>
      <c r="L90" s="129">
        <v>0.2</v>
      </c>
    </row>
    <row r="91" spans="9:12" ht="12.75" customHeight="1" x14ac:dyDescent="0.2">
      <c r="I91" s="130" t="s">
        <v>370</v>
      </c>
      <c r="J91" s="127"/>
      <c r="K91" s="128"/>
      <c r="L91" s="129">
        <v>0.2</v>
      </c>
    </row>
    <row r="92" spans="9:12" ht="12.75" customHeight="1" x14ac:dyDescent="0.2">
      <c r="I92" s="66" t="s">
        <v>206</v>
      </c>
      <c r="J92" s="127">
        <v>9.9999999999999995E-7</v>
      </c>
      <c r="K92" s="128">
        <v>1.0000000000000001E-5</v>
      </c>
      <c r="L92" s="129">
        <v>0.2</v>
      </c>
    </row>
    <row r="93" spans="9:12" ht="12.75" customHeight="1" x14ac:dyDescent="0.2">
      <c r="I93" s="3" t="s">
        <v>80</v>
      </c>
      <c r="J93" s="127">
        <v>9.9999999999999995E-7</v>
      </c>
      <c r="K93" s="128">
        <v>1.0000000000000001E-5</v>
      </c>
      <c r="L93" s="129">
        <v>0.2</v>
      </c>
    </row>
    <row r="94" spans="9:12" ht="12.75" customHeight="1" x14ac:dyDescent="0.2">
      <c r="I94" s="66" t="s">
        <v>371</v>
      </c>
      <c r="J94" s="127"/>
      <c r="K94" s="128"/>
      <c r="L94" s="129">
        <v>0.2</v>
      </c>
    </row>
    <row r="95" spans="9:12" ht="12.75" customHeight="1" x14ac:dyDescent="0.2">
      <c r="I95" s="66" t="s">
        <v>126</v>
      </c>
      <c r="J95" s="127"/>
      <c r="K95" s="128"/>
      <c r="L95" s="129">
        <v>0.2</v>
      </c>
    </row>
    <row r="96" spans="9:12" ht="12.75" customHeight="1" x14ac:dyDescent="0.2">
      <c r="I96" s="66" t="s">
        <v>149</v>
      </c>
      <c r="J96" s="127"/>
      <c r="K96" s="128"/>
      <c r="L96" s="129">
        <v>0.2</v>
      </c>
    </row>
    <row r="97" spans="9:12" ht="12.75" customHeight="1" x14ac:dyDescent="0.2">
      <c r="I97" s="66" t="s">
        <v>307</v>
      </c>
      <c r="J97" s="127"/>
      <c r="K97" s="128"/>
      <c r="L97" s="129">
        <v>0.2</v>
      </c>
    </row>
    <row r="98" spans="9:12" ht="12.75" customHeight="1" x14ac:dyDescent="0.2">
      <c r="I98" s="66" t="s">
        <v>150</v>
      </c>
      <c r="J98" s="166">
        <v>1.0000000000000001E-5</v>
      </c>
      <c r="K98" s="407">
        <v>9.9999999999999995E-7</v>
      </c>
      <c r="L98" s="129">
        <v>0.2</v>
      </c>
    </row>
    <row r="99" spans="9:12" ht="12.75" customHeight="1" x14ac:dyDescent="0.2">
      <c r="I99" s="66" t="s">
        <v>151</v>
      </c>
      <c r="J99" s="127"/>
      <c r="K99" s="407"/>
      <c r="L99" s="129">
        <v>0.2</v>
      </c>
    </row>
    <row r="100" spans="9:12" ht="12.75" customHeight="1" x14ac:dyDescent="0.2">
      <c r="I100" s="66" t="s">
        <v>152</v>
      </c>
      <c r="J100" s="127"/>
      <c r="K100" s="128"/>
      <c r="L100" s="129">
        <v>0.2</v>
      </c>
    </row>
    <row r="101" spans="9:12" ht="12.75" customHeight="1" x14ac:dyDescent="0.2">
      <c r="I101" s="66" t="s">
        <v>372</v>
      </c>
      <c r="J101" s="127"/>
      <c r="K101" s="128"/>
      <c r="L101" s="129">
        <v>0.2</v>
      </c>
    </row>
    <row r="102" spans="9:12" ht="12.75" customHeight="1" x14ac:dyDescent="0.2">
      <c r="I102" s="66" t="s">
        <v>153</v>
      </c>
      <c r="J102" s="127">
        <v>9.9999999999999995E-7</v>
      </c>
      <c r="K102" s="128">
        <v>1.0000000000000001E-5</v>
      </c>
      <c r="L102" s="129">
        <v>0.2</v>
      </c>
    </row>
    <row r="103" spans="9:12" ht="12.75" customHeight="1" x14ac:dyDescent="0.2">
      <c r="I103" s="66" t="s">
        <v>154</v>
      </c>
      <c r="J103" s="127">
        <v>9.9999999999999995E-7</v>
      </c>
      <c r="K103" s="128">
        <v>1.0000000000000001E-5</v>
      </c>
      <c r="L103" s="129">
        <v>0.2</v>
      </c>
    </row>
    <row r="104" spans="9:12" ht="12.75" customHeight="1" x14ac:dyDescent="0.2">
      <c r="I104" s="66" t="s">
        <v>127</v>
      </c>
      <c r="J104" s="127">
        <v>9.9999999999999995E-7</v>
      </c>
      <c r="K104" s="128">
        <v>1.0000000000000001E-5</v>
      </c>
      <c r="L104" s="129">
        <v>0.2</v>
      </c>
    </row>
    <row r="105" spans="9:12" ht="12.75" customHeight="1" x14ac:dyDescent="0.2">
      <c r="I105" s="66" t="s">
        <v>155</v>
      </c>
      <c r="J105" s="127">
        <v>9.9999999999999995E-7</v>
      </c>
      <c r="K105" s="128">
        <v>1.0000000000000001E-5</v>
      </c>
      <c r="L105" s="129">
        <v>0.2</v>
      </c>
    </row>
    <row r="106" spans="9:12" ht="12.75" customHeight="1" x14ac:dyDescent="0.2">
      <c r="I106" s="66" t="s">
        <v>122</v>
      </c>
      <c r="J106" s="127">
        <v>9.9999999999999995E-7</v>
      </c>
      <c r="K106" s="128">
        <v>1.0000000000000001E-5</v>
      </c>
      <c r="L106" s="129">
        <v>0.2</v>
      </c>
    </row>
    <row r="107" spans="9:12" ht="12.75" customHeight="1" x14ac:dyDescent="0.2">
      <c r="I107" s="66" t="s">
        <v>156</v>
      </c>
      <c r="J107" s="127">
        <v>9.9999999999999995E-7</v>
      </c>
      <c r="K107" s="128">
        <v>1.0000000000000001E-5</v>
      </c>
      <c r="L107" s="129">
        <v>0.2</v>
      </c>
    </row>
    <row r="108" spans="9:12" ht="12.75" customHeight="1" x14ac:dyDescent="0.2">
      <c r="I108" s="66" t="s">
        <v>373</v>
      </c>
      <c r="J108" s="127"/>
      <c r="K108" s="128"/>
      <c r="L108" s="129">
        <v>0.2</v>
      </c>
    </row>
    <row r="109" spans="9:12" ht="12.75" customHeight="1" x14ac:dyDescent="0.2">
      <c r="I109" s="66" t="s">
        <v>157</v>
      </c>
      <c r="J109" s="166">
        <v>1.0000000000000001E-5</v>
      </c>
      <c r="K109" s="128">
        <v>1.0000000000000001E-5</v>
      </c>
      <c r="L109" s="129">
        <v>0.2</v>
      </c>
    </row>
    <row r="110" spans="9:12" ht="12.75" customHeight="1" x14ac:dyDescent="0.2">
      <c r="I110" s="66" t="s">
        <v>374</v>
      </c>
      <c r="J110" s="127">
        <v>9.9999999999999995E-7</v>
      </c>
      <c r="K110" s="128">
        <v>1.0000000000000001E-5</v>
      </c>
      <c r="L110" s="129">
        <v>0.2</v>
      </c>
    </row>
    <row r="111" spans="9:12" ht="12.75" customHeight="1" x14ac:dyDescent="0.2">
      <c r="I111" s="66" t="s">
        <v>158</v>
      </c>
      <c r="J111" s="127"/>
      <c r="K111" s="128"/>
      <c r="L111" s="129">
        <v>0.2</v>
      </c>
    </row>
    <row r="112" spans="9:12" ht="12.75" customHeight="1" x14ac:dyDescent="0.2">
      <c r="I112" s="66" t="s">
        <v>159</v>
      </c>
      <c r="J112" s="127"/>
      <c r="K112" s="128"/>
      <c r="L112" s="129">
        <v>0.2</v>
      </c>
    </row>
    <row r="113" spans="9:12" ht="12.75" customHeight="1" x14ac:dyDescent="0.2">
      <c r="I113" s="66" t="s">
        <v>160</v>
      </c>
      <c r="J113" s="127"/>
      <c r="K113" s="128"/>
      <c r="L113" s="129">
        <v>0.2</v>
      </c>
    </row>
    <row r="114" spans="9:12" ht="12.75" customHeight="1" x14ac:dyDescent="0.2">
      <c r="I114" s="66" t="s">
        <v>162</v>
      </c>
      <c r="J114" s="127"/>
      <c r="K114" s="128"/>
      <c r="L114" s="129">
        <v>0.2</v>
      </c>
    </row>
    <row r="115" spans="9:12" ht="12.75" customHeight="1" x14ac:dyDescent="0.2">
      <c r="I115" s="66" t="s">
        <v>163</v>
      </c>
      <c r="J115" s="127"/>
      <c r="K115" s="128"/>
      <c r="L115" s="129">
        <v>0.2</v>
      </c>
    </row>
    <row r="116" spans="9:12" ht="12.75" customHeight="1" x14ac:dyDescent="0.2">
      <c r="I116" s="66" t="s">
        <v>164</v>
      </c>
      <c r="J116" s="127"/>
      <c r="K116" s="128"/>
      <c r="L116" s="129">
        <v>0.2</v>
      </c>
    </row>
    <row r="117" spans="9:12" ht="12.75" customHeight="1" x14ac:dyDescent="0.2">
      <c r="I117" s="66" t="s">
        <v>165</v>
      </c>
      <c r="J117" s="127">
        <v>9.9999999999999995E-7</v>
      </c>
      <c r="K117" s="407">
        <v>9.9999999999999995E-7</v>
      </c>
      <c r="L117" s="129">
        <v>0.2</v>
      </c>
    </row>
    <row r="118" spans="9:12" ht="12.75" customHeight="1" x14ac:dyDescent="0.2">
      <c r="I118" s="66" t="s">
        <v>161</v>
      </c>
      <c r="J118" s="127">
        <v>9.9999999999999995E-7</v>
      </c>
      <c r="K118" s="407">
        <v>9.9999999999999995E-7</v>
      </c>
      <c r="L118" s="129">
        <v>0.2</v>
      </c>
    </row>
    <row r="119" spans="9:12" ht="12.75" customHeight="1" x14ac:dyDescent="0.2">
      <c r="I119" s="66" t="s">
        <v>526</v>
      </c>
      <c r="J119" s="166">
        <v>1.0000000000000001E-5</v>
      </c>
      <c r="K119" s="413">
        <v>1.0000000000000001E-5</v>
      </c>
      <c r="L119" s="129">
        <v>0.2</v>
      </c>
    </row>
    <row r="120" spans="9:12" ht="12.75" customHeight="1" x14ac:dyDescent="0.2">
      <c r="I120" s="66" t="s">
        <v>527</v>
      </c>
      <c r="J120" s="166">
        <v>1.0000000000000001E-5</v>
      </c>
      <c r="K120" s="413">
        <v>1.0000000000000001E-5</v>
      </c>
      <c r="L120" s="129">
        <v>0.2</v>
      </c>
    </row>
    <row r="121" spans="9:12" ht="12.75" customHeight="1" x14ac:dyDescent="0.2">
      <c r="I121" s="66" t="s">
        <v>445</v>
      </c>
      <c r="J121" s="127"/>
      <c r="K121" s="413"/>
      <c r="L121" s="129">
        <v>0.2</v>
      </c>
    </row>
    <row r="122" spans="9:12" ht="12.75" customHeight="1" x14ac:dyDescent="0.2">
      <c r="I122" s="66" t="s">
        <v>446</v>
      </c>
      <c r="J122" s="166">
        <v>1.0000000000000001E-5</v>
      </c>
      <c r="K122" s="407">
        <v>9.9999999999999995E-7</v>
      </c>
      <c r="L122" s="129">
        <v>0.2</v>
      </c>
    </row>
    <row r="123" spans="9:12" ht="12.75" customHeight="1" x14ac:dyDescent="0.2">
      <c r="I123" s="66" t="s">
        <v>113</v>
      </c>
      <c r="J123" s="127"/>
      <c r="K123" s="128"/>
      <c r="L123" s="129">
        <v>0.2</v>
      </c>
    </row>
    <row r="124" spans="9:12" ht="12.75" customHeight="1" x14ac:dyDescent="0.2">
      <c r="I124" s="130" t="s">
        <v>375</v>
      </c>
      <c r="J124" s="127"/>
      <c r="K124" s="128"/>
      <c r="L124" s="129">
        <v>0.2</v>
      </c>
    </row>
    <row r="125" spans="9:12" ht="12.75" customHeight="1" x14ac:dyDescent="0.2">
      <c r="I125" s="130" t="s">
        <v>376</v>
      </c>
      <c r="J125" s="127">
        <v>9.9999999999999995E-7</v>
      </c>
      <c r="K125" s="128">
        <v>1.0000000000000001E-5</v>
      </c>
      <c r="L125" s="129">
        <v>0.2</v>
      </c>
    </row>
    <row r="126" spans="9:12" ht="12.75" customHeight="1" x14ac:dyDescent="0.2">
      <c r="I126" s="130" t="s">
        <v>377</v>
      </c>
      <c r="J126" s="127">
        <v>9.9999999999999995E-7</v>
      </c>
      <c r="K126" s="407">
        <v>9.9999999999999995E-7</v>
      </c>
      <c r="L126" s="129">
        <v>0.2</v>
      </c>
    </row>
    <row r="127" spans="9:12" ht="12.75" customHeight="1" x14ac:dyDescent="0.2">
      <c r="I127" s="130" t="s">
        <v>378</v>
      </c>
      <c r="J127" s="127"/>
      <c r="K127" s="128"/>
      <c r="L127" s="129">
        <v>0.2</v>
      </c>
    </row>
    <row r="128" spans="9:12" ht="12.75" customHeight="1" x14ac:dyDescent="0.2">
      <c r="I128" s="130" t="s">
        <v>379</v>
      </c>
      <c r="J128" s="127">
        <v>9.9999999999999995E-7</v>
      </c>
      <c r="K128" s="128">
        <v>1.0000000000000001E-5</v>
      </c>
      <c r="L128" s="129">
        <v>0.2</v>
      </c>
    </row>
    <row r="129" spans="9:12" ht="12.75" customHeight="1" x14ac:dyDescent="0.2">
      <c r="I129" s="66" t="s">
        <v>447</v>
      </c>
      <c r="J129" s="127">
        <v>9.9999999999999995E-7</v>
      </c>
      <c r="K129" s="128">
        <v>1.0000000000000001E-5</v>
      </c>
      <c r="L129" s="129">
        <v>0.2</v>
      </c>
    </row>
    <row r="130" spans="9:12" ht="12.75" customHeight="1" x14ac:dyDescent="0.2">
      <c r="I130" s="130" t="s">
        <v>380</v>
      </c>
      <c r="J130" s="127">
        <v>9.9999999999999995E-7</v>
      </c>
      <c r="K130" s="128">
        <v>1.0000000000000001E-5</v>
      </c>
      <c r="L130" s="129">
        <v>0.2</v>
      </c>
    </row>
    <row r="131" spans="9:12" ht="12.75" customHeight="1" x14ac:dyDescent="0.2">
      <c r="I131" s="66" t="s">
        <v>132</v>
      </c>
      <c r="J131" s="127"/>
      <c r="K131" s="128"/>
      <c r="L131" s="129">
        <v>0.2</v>
      </c>
    </row>
    <row r="132" spans="9:12" ht="12.75" customHeight="1" x14ac:dyDescent="0.2">
      <c r="I132" s="66" t="s">
        <v>448</v>
      </c>
      <c r="J132" s="127"/>
      <c r="K132" s="128"/>
      <c r="L132" s="129">
        <v>0.2</v>
      </c>
    </row>
    <row r="133" spans="9:12" ht="12.75" customHeight="1" x14ac:dyDescent="0.2">
      <c r="I133" s="66" t="s">
        <v>449</v>
      </c>
      <c r="J133" s="127"/>
      <c r="K133" s="128"/>
      <c r="L133" s="129">
        <v>0.2</v>
      </c>
    </row>
    <row r="134" spans="9:12" ht="12.75" customHeight="1" x14ac:dyDescent="0.2">
      <c r="I134" s="66" t="s">
        <v>123</v>
      </c>
      <c r="J134" s="166">
        <v>1.0000000000000001E-5</v>
      </c>
      <c r="K134" s="128">
        <v>1.0000000000000001E-5</v>
      </c>
      <c r="L134" s="167">
        <v>1</v>
      </c>
    </row>
    <row r="135" spans="9:12" ht="12.75" customHeight="1" x14ac:dyDescent="0.2">
      <c r="I135" s="66" t="s">
        <v>381</v>
      </c>
      <c r="J135" s="127"/>
      <c r="K135" s="128"/>
      <c r="L135" s="129">
        <v>0.2</v>
      </c>
    </row>
    <row r="136" spans="9:12" ht="12.75" customHeight="1" x14ac:dyDescent="0.2">
      <c r="I136" s="66" t="s">
        <v>450</v>
      </c>
      <c r="J136" s="127"/>
      <c r="K136" s="128"/>
      <c r="L136" s="129">
        <v>0.2</v>
      </c>
    </row>
    <row r="137" spans="9:12" ht="12.75" customHeight="1" x14ac:dyDescent="0.2">
      <c r="I137" s="66" t="s">
        <v>451</v>
      </c>
      <c r="J137" s="127"/>
      <c r="K137" s="128"/>
      <c r="L137" s="129">
        <v>0.2</v>
      </c>
    </row>
    <row r="138" spans="9:12" ht="12.75" customHeight="1" x14ac:dyDescent="0.2">
      <c r="I138" s="66" t="s">
        <v>114</v>
      </c>
      <c r="J138" s="127"/>
      <c r="K138" s="128"/>
      <c r="L138" s="129">
        <v>0.2</v>
      </c>
    </row>
    <row r="139" spans="9:12" ht="12.75" customHeight="1" x14ac:dyDescent="0.2">
      <c r="I139" s="66" t="s">
        <v>382</v>
      </c>
      <c r="J139" s="127">
        <v>9.9999999999999995E-7</v>
      </c>
      <c r="K139" s="128">
        <v>1.0000000000000001E-5</v>
      </c>
      <c r="L139" s="129">
        <v>0.2</v>
      </c>
    </row>
    <row r="140" spans="9:12" ht="12.75" customHeight="1" x14ac:dyDescent="0.2">
      <c r="I140" s="66" t="s">
        <v>452</v>
      </c>
      <c r="J140" s="127">
        <v>9.9999999999999995E-7</v>
      </c>
      <c r="K140" s="407">
        <v>9.9999999999999995E-7</v>
      </c>
      <c r="L140" s="129">
        <v>0.2</v>
      </c>
    </row>
    <row r="141" spans="9:12" ht="12.75" customHeight="1" x14ac:dyDescent="0.2">
      <c r="I141" s="66" t="s">
        <v>383</v>
      </c>
      <c r="J141" s="127"/>
      <c r="K141" s="128"/>
      <c r="L141" s="129">
        <v>0.2</v>
      </c>
    </row>
    <row r="142" spans="9:12" ht="12.75" customHeight="1" x14ac:dyDescent="0.2">
      <c r="I142" s="66" t="s">
        <v>346</v>
      </c>
      <c r="J142" s="127">
        <v>9.9999999999999995E-7</v>
      </c>
      <c r="K142" s="407">
        <v>9.9999999999999995E-7</v>
      </c>
      <c r="L142" s="129">
        <v>0.2</v>
      </c>
    </row>
    <row r="143" spans="9:12" ht="12.75" customHeight="1" x14ac:dyDescent="0.2">
      <c r="I143" s="66" t="s">
        <v>453</v>
      </c>
      <c r="J143" s="127">
        <v>9.9999999999999995E-7</v>
      </c>
      <c r="K143" s="407">
        <v>9.9999999999999995E-7</v>
      </c>
      <c r="L143" s="129">
        <v>0.2</v>
      </c>
    </row>
    <row r="144" spans="9:12" ht="12.75" customHeight="1" x14ac:dyDescent="0.2">
      <c r="I144" s="66" t="s">
        <v>454</v>
      </c>
      <c r="J144" s="127">
        <v>9.9999999999999995E-7</v>
      </c>
      <c r="K144" s="407">
        <v>9.9999999999999995E-7</v>
      </c>
      <c r="L144" s="129">
        <v>0.2</v>
      </c>
    </row>
    <row r="145" spans="9:12" ht="12.75" customHeight="1" x14ac:dyDescent="0.2">
      <c r="I145" s="66" t="s">
        <v>455</v>
      </c>
      <c r="J145" s="127">
        <v>9.9999999999999995E-7</v>
      </c>
      <c r="K145" s="407">
        <v>9.9999999999999995E-7</v>
      </c>
      <c r="L145" s="129">
        <v>0.2</v>
      </c>
    </row>
    <row r="146" spans="9:12" ht="12.75" customHeight="1" x14ac:dyDescent="0.2">
      <c r="I146" s="66" t="s">
        <v>384</v>
      </c>
      <c r="J146" s="127"/>
      <c r="K146" s="128"/>
      <c r="L146" s="129">
        <v>0.2</v>
      </c>
    </row>
    <row r="147" spans="9:12" ht="12.75" customHeight="1" x14ac:dyDescent="0.2">
      <c r="I147" s="130" t="s">
        <v>385</v>
      </c>
      <c r="J147" s="127"/>
      <c r="K147" s="128"/>
      <c r="L147" s="129">
        <v>0.2</v>
      </c>
    </row>
    <row r="148" spans="9:12" ht="12.75" customHeight="1" x14ac:dyDescent="0.2">
      <c r="I148" s="66" t="s">
        <v>456</v>
      </c>
      <c r="J148" s="127"/>
      <c r="K148" s="128"/>
      <c r="L148" s="129">
        <v>0.2</v>
      </c>
    </row>
    <row r="149" spans="9:12" ht="12.75" customHeight="1" x14ac:dyDescent="0.2">
      <c r="I149" s="66" t="s">
        <v>124</v>
      </c>
      <c r="J149" s="127"/>
      <c r="K149" s="128"/>
      <c r="L149" s="129">
        <v>0.2</v>
      </c>
    </row>
    <row r="150" spans="9:12" ht="12.75" customHeight="1" x14ac:dyDescent="0.2">
      <c r="I150" s="66" t="s">
        <v>347</v>
      </c>
      <c r="J150" s="127">
        <v>9.9999999999999995E-7</v>
      </c>
      <c r="K150" s="128">
        <v>1.0000000000000001E-5</v>
      </c>
      <c r="L150" s="129">
        <v>0.2</v>
      </c>
    </row>
    <row r="151" spans="9:12" ht="12.75" customHeight="1" x14ac:dyDescent="0.2">
      <c r="I151" s="66" t="s">
        <v>183</v>
      </c>
      <c r="J151" s="127"/>
      <c r="K151" s="128"/>
      <c r="L151" s="167">
        <v>0.5</v>
      </c>
    </row>
    <row r="152" spans="9:12" ht="12.75" customHeight="1" x14ac:dyDescent="0.2">
      <c r="I152" s="66" t="s">
        <v>182</v>
      </c>
      <c r="J152" s="127"/>
      <c r="K152" s="128"/>
      <c r="L152" s="167">
        <v>0.5</v>
      </c>
    </row>
    <row r="153" spans="9:12" ht="12.75" customHeight="1" x14ac:dyDescent="0.2">
      <c r="I153" s="66" t="s">
        <v>325</v>
      </c>
      <c r="J153" s="127"/>
      <c r="K153" s="128"/>
      <c r="L153" s="167">
        <v>0.5</v>
      </c>
    </row>
    <row r="154" spans="9:12" ht="12.75" customHeight="1" x14ac:dyDescent="0.2">
      <c r="I154" s="66" t="s">
        <v>115</v>
      </c>
      <c r="J154" s="127">
        <v>9.9999999999999995E-7</v>
      </c>
      <c r="K154" s="407">
        <v>9.9999999999999995E-7</v>
      </c>
      <c r="L154" s="129">
        <v>0.2</v>
      </c>
    </row>
    <row r="155" spans="9:12" ht="12.75" customHeight="1" x14ac:dyDescent="0.2">
      <c r="I155" s="66" t="s">
        <v>116</v>
      </c>
      <c r="J155" s="127"/>
      <c r="K155" s="128"/>
      <c r="L155" s="129">
        <v>0.2</v>
      </c>
    </row>
    <row r="156" spans="9:12" ht="12.75" customHeight="1" x14ac:dyDescent="0.2">
      <c r="I156" s="66" t="s">
        <v>457</v>
      </c>
      <c r="J156" s="127">
        <v>9.9999999999999995E-7</v>
      </c>
      <c r="K156" s="407">
        <v>9.9999999999999995E-7</v>
      </c>
      <c r="L156" s="129">
        <v>0.2</v>
      </c>
    </row>
    <row r="157" spans="9:12" ht="12.75" customHeight="1" x14ac:dyDescent="0.2">
      <c r="I157" s="66" t="s">
        <v>458</v>
      </c>
      <c r="J157" s="127">
        <v>9.9999999999999995E-7</v>
      </c>
      <c r="K157" s="407">
        <v>9.9999999999999995E-7</v>
      </c>
      <c r="L157" s="129">
        <v>0.2</v>
      </c>
    </row>
    <row r="158" spans="9:12" ht="12.75" customHeight="1" x14ac:dyDescent="0.2">
      <c r="I158" s="66" t="s">
        <v>459</v>
      </c>
      <c r="J158" s="127"/>
      <c r="K158" s="128"/>
      <c r="L158" s="129">
        <v>0.2</v>
      </c>
    </row>
    <row r="159" spans="9:12" ht="12.75" customHeight="1" x14ac:dyDescent="0.2">
      <c r="I159" s="66" t="s">
        <v>460</v>
      </c>
      <c r="J159" s="127">
        <v>9.9999999999999995E-7</v>
      </c>
      <c r="K159" s="128">
        <v>1.0000000000000001E-5</v>
      </c>
      <c r="L159" s="129">
        <v>0.2</v>
      </c>
    </row>
    <row r="160" spans="9:12" ht="12.75" customHeight="1" x14ac:dyDescent="0.2">
      <c r="I160" s="130" t="s">
        <v>386</v>
      </c>
      <c r="J160" s="127"/>
      <c r="K160" s="128"/>
      <c r="L160" s="129">
        <v>0.2</v>
      </c>
    </row>
    <row r="161" spans="9:12" ht="12.75" customHeight="1" x14ac:dyDescent="0.2">
      <c r="I161" s="66" t="s">
        <v>387</v>
      </c>
      <c r="J161" s="127"/>
      <c r="K161" s="128"/>
      <c r="L161" s="129">
        <v>0.2</v>
      </c>
    </row>
    <row r="162" spans="9:12" ht="12.75" customHeight="1" x14ac:dyDescent="0.2">
      <c r="I162" s="66" t="s">
        <v>388</v>
      </c>
      <c r="J162" s="127">
        <v>9.9999999999999995E-7</v>
      </c>
      <c r="K162" s="407">
        <v>9.9999999999999995E-7</v>
      </c>
      <c r="L162" s="129">
        <v>0.2</v>
      </c>
    </row>
    <row r="163" spans="9:12" ht="12.75" customHeight="1" x14ac:dyDescent="0.2">
      <c r="I163" s="66" t="s">
        <v>389</v>
      </c>
      <c r="J163" s="127"/>
      <c r="K163" s="128"/>
      <c r="L163" s="129">
        <v>0.2</v>
      </c>
    </row>
    <row r="164" spans="9:12" ht="12.75" customHeight="1" x14ac:dyDescent="0.2">
      <c r="I164" s="66" t="s">
        <v>390</v>
      </c>
      <c r="J164" s="127">
        <v>9.9999999999999995E-7</v>
      </c>
      <c r="K164" s="128">
        <v>1.0000000000000001E-5</v>
      </c>
      <c r="L164" s="129">
        <v>0.2</v>
      </c>
    </row>
    <row r="165" spans="9:12" ht="12.75" customHeight="1" x14ac:dyDescent="0.2">
      <c r="I165" s="130" t="s">
        <v>300</v>
      </c>
      <c r="J165" s="127">
        <v>9.9999999999999995E-7</v>
      </c>
      <c r="K165" s="128">
        <v>1.0000000000000001E-5</v>
      </c>
      <c r="L165" s="129">
        <v>0.2</v>
      </c>
    </row>
    <row r="166" spans="9:12" ht="12.75" customHeight="1" x14ac:dyDescent="0.2">
      <c r="I166" s="130" t="s">
        <v>391</v>
      </c>
      <c r="J166" s="127"/>
      <c r="K166" s="128"/>
      <c r="L166" s="129">
        <v>0.2</v>
      </c>
    </row>
    <row r="167" spans="9:12" ht="12.75" customHeight="1" x14ac:dyDescent="0.2">
      <c r="I167" s="130" t="s">
        <v>393</v>
      </c>
      <c r="J167" s="127">
        <v>9.9999999999999995E-7</v>
      </c>
      <c r="K167" s="128">
        <v>1.0000000000000001E-5</v>
      </c>
      <c r="L167" s="129">
        <v>0.2</v>
      </c>
    </row>
    <row r="168" spans="9:12" ht="12.75" customHeight="1" x14ac:dyDescent="0.2">
      <c r="I168" s="66" t="s">
        <v>461</v>
      </c>
      <c r="J168" s="127">
        <v>9.9999999999999995E-7</v>
      </c>
      <c r="K168" s="128">
        <v>1.0000000000000001E-5</v>
      </c>
      <c r="L168" s="129">
        <v>0.2</v>
      </c>
    </row>
    <row r="169" spans="9:12" ht="12.75" customHeight="1" x14ac:dyDescent="0.2">
      <c r="I169" s="66" t="s">
        <v>462</v>
      </c>
      <c r="J169" s="127">
        <v>9.9999999999999995E-7</v>
      </c>
      <c r="K169" s="407">
        <v>9.9999999999999995E-7</v>
      </c>
      <c r="L169" s="129">
        <v>0.2</v>
      </c>
    </row>
    <row r="170" spans="9:12" ht="12.75" customHeight="1" x14ac:dyDescent="0.2">
      <c r="I170" s="66" t="s">
        <v>463</v>
      </c>
      <c r="J170" s="127"/>
      <c r="K170" s="128"/>
      <c r="L170" s="129">
        <v>0.2</v>
      </c>
    </row>
    <row r="171" spans="9:12" ht="12.75" customHeight="1" thickBot="1" x14ac:dyDescent="0.25">
      <c r="I171" s="67" t="s">
        <v>464</v>
      </c>
      <c r="J171" s="127"/>
      <c r="K171" s="128"/>
      <c r="L171" s="129">
        <v>0.2</v>
      </c>
    </row>
    <row r="172" spans="9:12" ht="12.75" customHeight="1" thickTop="1" x14ac:dyDescent="0.2"/>
    <row r="204" spans="2:6" ht="12.75" customHeight="1" x14ac:dyDescent="0.2">
      <c r="B204"/>
      <c r="C204"/>
      <c r="D204"/>
      <c r="E204"/>
      <c r="F204"/>
    </row>
    <row r="205" spans="2:6" ht="12.75" customHeight="1" x14ac:dyDescent="0.2">
      <c r="B205"/>
      <c r="C205"/>
      <c r="D205"/>
      <c r="E205"/>
      <c r="F205"/>
    </row>
    <row r="206" spans="2:6" ht="12.75" customHeight="1" x14ac:dyDescent="0.2">
      <c r="B206"/>
      <c r="C206"/>
      <c r="D206"/>
      <c r="E206"/>
      <c r="F206"/>
    </row>
    <row r="207" spans="2:6" ht="12.75" customHeight="1" x14ac:dyDescent="0.2">
      <c r="B207"/>
      <c r="C207"/>
      <c r="D207"/>
      <c r="E207"/>
      <c r="F207"/>
    </row>
    <row r="208" spans="2:6" ht="12.75" customHeight="1" x14ac:dyDescent="0.2">
      <c r="B208"/>
      <c r="C208"/>
      <c r="D208"/>
      <c r="E208"/>
      <c r="F208"/>
    </row>
    <row r="209" spans="1:8" ht="12.75" customHeight="1" x14ac:dyDescent="0.2">
      <c r="D209" s="195"/>
      <c r="E209" s="195"/>
      <c r="F209" s="195"/>
    </row>
    <row r="220" spans="1:8" ht="12.75" customHeight="1" x14ac:dyDescent="0.2">
      <c r="H220" s="99"/>
    </row>
    <row r="221" spans="1:8" ht="12.75" customHeight="1" x14ac:dyDescent="0.2">
      <c r="G221"/>
      <c r="H221" s="99"/>
    </row>
    <row r="222" spans="1:8" ht="12.75" customHeight="1" x14ac:dyDescent="0.2">
      <c r="G222"/>
      <c r="H222" s="99"/>
    </row>
    <row r="223" spans="1:8" ht="12.75" customHeight="1" x14ac:dyDescent="0.2">
      <c r="G223"/>
      <c r="H223" s="99"/>
    </row>
    <row r="224" spans="1:8" ht="12.75" customHeight="1" x14ac:dyDescent="0.2">
      <c r="A224"/>
      <c r="G224"/>
      <c r="H224" s="99"/>
    </row>
    <row r="225" spans="1:13" customFormat="1" ht="12.75" customHeight="1" x14ac:dyDescent="0.2">
      <c r="B225" s="195"/>
      <c r="C225" s="195"/>
      <c r="D225" s="7"/>
      <c r="E225" s="7"/>
      <c r="F225" s="7"/>
      <c r="H225" s="70"/>
      <c r="I225" s="195"/>
      <c r="J225" s="195"/>
      <c r="K225" s="195"/>
      <c r="M225" s="195"/>
    </row>
    <row r="226" spans="1:13" customFormat="1" ht="12.75" customHeight="1" x14ac:dyDescent="0.2">
      <c r="B226" s="195"/>
      <c r="C226" s="195"/>
      <c r="D226" s="7"/>
      <c r="E226" s="7"/>
      <c r="F226" s="7"/>
      <c r="G226" s="70"/>
      <c r="H226" s="70"/>
      <c r="I226" s="195"/>
      <c r="J226" s="195"/>
      <c r="K226" s="195"/>
      <c r="M226" s="195"/>
    </row>
    <row r="227" spans="1:13" customFormat="1" ht="12.75" customHeight="1" x14ac:dyDescent="0.2">
      <c r="A227" s="70"/>
      <c r="B227" s="195"/>
      <c r="C227" s="195"/>
      <c r="D227" s="7"/>
      <c r="E227" s="7"/>
      <c r="F227" s="7"/>
      <c r="G227" s="195"/>
      <c r="H227" s="70"/>
      <c r="I227" s="195"/>
      <c r="J227" s="195"/>
      <c r="K227" s="195"/>
      <c r="M227" s="195"/>
    </row>
    <row r="228" spans="1:13" customFormat="1" ht="12.75" customHeight="1" x14ac:dyDescent="0.2">
      <c r="A228" s="195"/>
      <c r="B228" s="195"/>
      <c r="C228" s="195"/>
      <c r="D228" s="7"/>
      <c r="E228" s="7"/>
      <c r="F228" s="7"/>
      <c r="G228" s="195"/>
      <c r="H228" s="70"/>
      <c r="I228" s="195"/>
      <c r="J228" s="195"/>
      <c r="K228" s="195"/>
      <c r="M228" s="195"/>
    </row>
    <row r="229" spans="1:13" customFormat="1" ht="12.75" customHeight="1" x14ac:dyDescent="0.2">
      <c r="A229" s="195"/>
      <c r="B229" s="195"/>
      <c r="C229" s="195"/>
      <c r="D229" s="7"/>
      <c r="E229" s="7"/>
      <c r="F229" s="7"/>
      <c r="G229" s="195"/>
      <c r="H229" s="70"/>
      <c r="I229" s="195"/>
      <c r="J229" s="195"/>
      <c r="K229" s="195"/>
      <c r="M229" s="195"/>
    </row>
    <row r="230" spans="1:13" s="70" customFormat="1" ht="12.75" customHeight="1" x14ac:dyDescent="0.2">
      <c r="A230" s="195"/>
      <c r="B230" s="195"/>
      <c r="C230" s="195"/>
      <c r="D230" s="7"/>
      <c r="E230" s="7"/>
      <c r="F230" s="7"/>
      <c r="G230" s="195"/>
      <c r="I230" s="195"/>
      <c r="J230" s="195"/>
      <c r="K230" s="195"/>
      <c r="L230"/>
      <c r="M230" s="195"/>
    </row>
    <row r="231" spans="1:13" ht="12.75" customHeight="1" x14ac:dyDescent="0.2">
      <c r="I231"/>
    </row>
    <row r="232" spans="1:13" ht="12.75" customHeight="1" x14ac:dyDescent="0.2">
      <c r="I232"/>
    </row>
    <row r="233" spans="1:13" ht="12.75" customHeight="1" x14ac:dyDescent="0.2">
      <c r="I233"/>
    </row>
    <row r="234" spans="1:13" ht="12.75" customHeight="1" x14ac:dyDescent="0.2">
      <c r="I234"/>
      <c r="J234"/>
      <c r="K234"/>
    </row>
    <row r="235" spans="1:13" ht="12.75" customHeight="1" x14ac:dyDescent="0.2">
      <c r="I235"/>
      <c r="J235"/>
      <c r="K235"/>
    </row>
    <row r="236" spans="1:13" ht="12.75" customHeight="1" x14ac:dyDescent="0.2">
      <c r="I236" s="70"/>
      <c r="J236"/>
      <c r="K236"/>
      <c r="M236"/>
    </row>
    <row r="237" spans="1:13" ht="12.75" customHeight="1" x14ac:dyDescent="0.2">
      <c r="J237"/>
      <c r="K237"/>
      <c r="M237"/>
    </row>
    <row r="238" spans="1:13" ht="12.75" customHeight="1" x14ac:dyDescent="0.2">
      <c r="J238"/>
      <c r="K238"/>
      <c r="M238"/>
    </row>
    <row r="239" spans="1:13" ht="12.75" customHeight="1" x14ac:dyDescent="0.2">
      <c r="J239" s="70"/>
      <c r="K239" s="70"/>
      <c r="M239"/>
    </row>
    <row r="240" spans="1:13" ht="12.75" customHeight="1" x14ac:dyDescent="0.2">
      <c r="M240"/>
    </row>
    <row r="241" spans="13:13" ht="12.75" customHeight="1" x14ac:dyDescent="0.2">
      <c r="M241" s="70"/>
    </row>
  </sheetData>
  <sheetProtection algorithmName="SHA-512" hashValue="ujveUBOnV6Y5iB7AUQJqkQwRSBY/QnHlMNe/0jVBI6ydCbjvp+NayB2KD/VLm61TkrSai7yvyLuBMZjNDahnyA==" saltValue="8soIpF84pWk/y1x9wvcTRg==" spinCount="100000" sheet="1" objects="1" scenarios="1"/>
  <mergeCells count="17">
    <mergeCell ref="L20:L21"/>
    <mergeCell ref="B5:G5"/>
    <mergeCell ref="C19:E19"/>
    <mergeCell ref="C17:E17"/>
    <mergeCell ref="B6:G6"/>
    <mergeCell ref="J19:J21"/>
    <mergeCell ref="K19:K21"/>
    <mergeCell ref="B58:G58"/>
    <mergeCell ref="B60:G61"/>
    <mergeCell ref="B53:G53"/>
    <mergeCell ref="B29:D30"/>
    <mergeCell ref="B31:D31"/>
    <mergeCell ref="B38:D39"/>
    <mergeCell ref="E34:G35"/>
    <mergeCell ref="E36:G37"/>
    <mergeCell ref="B56:G56"/>
    <mergeCell ref="B50:G50"/>
  </mergeCells>
  <phoneticPr fontId="12" type="noConversion"/>
  <dataValidations count="3">
    <dataValidation type="list" allowBlank="1" showInputMessage="1" showErrorMessage="1" sqref="C19">
      <formula1>$I$17:$I$18</formula1>
    </dataValidation>
    <dataValidation type="list" allowBlank="1" showInputMessage="1" showErrorMessage="1" sqref="C18:D18 C20:D20">
      <formula1>$M$21:$M$23</formula1>
    </dataValidation>
    <dataValidation type="list" allowBlank="1" showInputMessage="1" showErrorMessage="1" sqref="C17">
      <formula1>$I$22:$I$171</formula1>
    </dataValidation>
  </dataValidations>
  <printOptions horizontalCentered="1"/>
  <pageMargins left="0.75" right="0.4" top="0.5" bottom="0.45" header="0.5" footer="0.16"/>
  <pageSetup scale="78" orientation="portrait" r:id="rId1"/>
  <headerFooter alignWithMargins="0">
    <oddFooter>&amp;LHawai'i DOH
Fall 2017&amp;R&amp;A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B1:J83"/>
  <sheetViews>
    <sheetView showGridLines="0" showRowColHeaders="0" zoomScaleNormal="100" workbookViewId="0">
      <selection activeCell="H39" sqref="H39"/>
    </sheetView>
  </sheetViews>
  <sheetFormatPr defaultColWidth="8.85546875" defaultRowHeight="11.25" x14ac:dyDescent="0.2"/>
  <cols>
    <col min="1" max="1" width="4.5703125" style="70" customWidth="1"/>
    <col min="2" max="2" width="29" style="70" customWidth="1"/>
    <col min="3" max="3" width="11.42578125" style="70" customWidth="1"/>
    <col min="4" max="4" width="14.42578125" style="71" customWidth="1"/>
    <col min="5" max="5" width="1.5703125" style="71" customWidth="1"/>
    <col min="6" max="6" width="13.5703125" style="71" customWidth="1"/>
    <col min="7" max="7" width="21.140625" style="71" customWidth="1"/>
    <col min="8" max="8" width="16.85546875" style="71" customWidth="1"/>
    <col min="9" max="9" width="5" style="71" customWidth="1"/>
    <col min="10" max="10" width="5.5703125" style="71" customWidth="1"/>
    <col min="11" max="11" width="10.5703125" style="70" customWidth="1"/>
    <col min="12" max="12" width="13.5703125" style="70" customWidth="1"/>
    <col min="13" max="13" width="12" style="70" customWidth="1"/>
    <col min="14" max="14" width="11.85546875" style="70" customWidth="1"/>
    <col min="15" max="16" width="11.42578125" style="70" customWidth="1"/>
    <col min="17" max="18" width="12.5703125" style="70" customWidth="1"/>
    <col min="19" max="19" width="13" style="70" customWidth="1"/>
    <col min="20" max="20" width="0.85546875" style="70" customWidth="1"/>
    <col min="21" max="16384" width="8.85546875" style="70"/>
  </cols>
  <sheetData>
    <row r="1" spans="2:10" ht="12.75" x14ac:dyDescent="0.2">
      <c r="B1" s="259" t="s">
        <v>510</v>
      </c>
      <c r="C1" s="107"/>
      <c r="D1" s="107"/>
      <c r="E1" s="107"/>
      <c r="F1" s="107"/>
      <c r="G1" s="107"/>
      <c r="H1" s="371"/>
      <c r="I1" s="70"/>
      <c r="J1" s="72"/>
    </row>
    <row r="2" spans="2:10" x14ac:dyDescent="0.2">
      <c r="B2" s="73"/>
      <c r="D2" s="70"/>
      <c r="E2" s="70"/>
      <c r="F2" s="70"/>
      <c r="I2" s="72"/>
      <c r="J2" s="72"/>
    </row>
    <row r="3" spans="2:10" ht="13.7" customHeight="1" thickBot="1" x14ac:dyDescent="0.25">
      <c r="B3" s="260" t="s">
        <v>531</v>
      </c>
      <c r="C3" s="261"/>
      <c r="D3" s="261"/>
      <c r="E3" s="261"/>
      <c r="F3" s="261"/>
      <c r="G3" s="262"/>
      <c r="H3" s="262"/>
      <c r="I3" s="103"/>
      <c r="J3" s="103"/>
    </row>
    <row r="4" spans="2:10" ht="13.7" customHeight="1" thickTop="1" thickBot="1" x14ac:dyDescent="0.25">
      <c r="B4" s="81" t="s">
        <v>34</v>
      </c>
      <c r="C4" s="75"/>
      <c r="D4" s="76"/>
      <c r="E4" s="76"/>
      <c r="F4" s="76"/>
      <c r="G4" s="258" t="s">
        <v>32</v>
      </c>
      <c r="H4" s="213" t="s">
        <v>31</v>
      </c>
    </row>
    <row r="5" spans="2:10" ht="13.7" customHeight="1" x14ac:dyDescent="0.2">
      <c r="B5" s="77" t="s">
        <v>416</v>
      </c>
      <c r="C5" s="91"/>
      <c r="D5" s="78" t="s">
        <v>417</v>
      </c>
      <c r="E5" s="78"/>
      <c r="F5" s="78" t="s">
        <v>75</v>
      </c>
      <c r="G5" s="420">
        <v>6032</v>
      </c>
      <c r="H5" s="256">
        <f>G5</f>
        <v>6032</v>
      </c>
      <c r="I5" s="418"/>
    </row>
    <row r="6" spans="2:10" ht="13.7" customHeight="1" x14ac:dyDescent="0.2">
      <c r="B6" s="77" t="s">
        <v>418</v>
      </c>
      <c r="C6" s="91"/>
      <c r="D6" s="78" t="s">
        <v>419</v>
      </c>
      <c r="E6" s="78"/>
      <c r="F6" s="78" t="s">
        <v>75</v>
      </c>
      <c r="G6" s="420">
        <v>2373</v>
      </c>
      <c r="H6" s="256">
        <f t="shared" ref="H6:H39" si="0">G6</f>
        <v>2373</v>
      </c>
      <c r="I6" s="361"/>
    </row>
    <row r="7" spans="2:10" ht="13.7" customHeight="1" x14ac:dyDescent="0.2">
      <c r="B7" s="77" t="s">
        <v>420</v>
      </c>
      <c r="C7" s="91"/>
      <c r="D7" s="78" t="s">
        <v>417</v>
      </c>
      <c r="E7" s="78"/>
      <c r="F7" s="78" t="s">
        <v>75</v>
      </c>
      <c r="G7" s="420">
        <v>3527</v>
      </c>
      <c r="H7" s="256">
        <f t="shared" si="0"/>
        <v>3527</v>
      </c>
      <c r="I7" s="361"/>
    </row>
    <row r="8" spans="2:10" ht="13.7" customHeight="1" x14ac:dyDescent="0.2">
      <c r="B8" s="77" t="s">
        <v>45</v>
      </c>
      <c r="C8" s="91"/>
      <c r="D8" s="78" t="s">
        <v>46</v>
      </c>
      <c r="E8" s="74"/>
      <c r="F8" s="78" t="s">
        <v>75</v>
      </c>
      <c r="G8" s="100">
        <v>5800</v>
      </c>
      <c r="H8" s="256">
        <f t="shared" si="0"/>
        <v>5800</v>
      </c>
      <c r="I8" s="361"/>
    </row>
    <row r="9" spans="2:10" ht="13.7" customHeight="1" x14ac:dyDescent="0.2">
      <c r="B9" s="77" t="s">
        <v>47</v>
      </c>
      <c r="C9" s="91"/>
      <c r="D9" s="78" t="s">
        <v>48</v>
      </c>
      <c r="E9" s="78"/>
      <c r="F9" s="78" t="s">
        <v>76</v>
      </c>
      <c r="G9" s="100">
        <v>7.0000000000000007E-2</v>
      </c>
      <c r="H9" s="256">
        <f t="shared" si="0"/>
        <v>7.0000000000000007E-2</v>
      </c>
      <c r="I9" s="361"/>
    </row>
    <row r="10" spans="2:10" ht="13.7" customHeight="1" x14ac:dyDescent="0.2">
      <c r="B10" s="77" t="s">
        <v>49</v>
      </c>
      <c r="C10" s="91"/>
      <c r="D10" s="78" t="s">
        <v>50</v>
      </c>
      <c r="E10" s="78"/>
      <c r="F10" s="78" t="s">
        <v>76</v>
      </c>
      <c r="G10" s="100">
        <v>0.2</v>
      </c>
      <c r="H10" s="256">
        <f t="shared" si="0"/>
        <v>0.2</v>
      </c>
      <c r="I10" s="361"/>
    </row>
    <row r="11" spans="2:10" ht="13.7" customHeight="1" x14ac:dyDescent="0.2">
      <c r="B11" s="77" t="s">
        <v>335</v>
      </c>
      <c r="C11" s="91"/>
      <c r="D11" s="78" t="s">
        <v>48</v>
      </c>
      <c r="E11" s="78"/>
      <c r="F11" s="78" t="s">
        <v>76</v>
      </c>
      <c r="G11" s="420">
        <v>0.12</v>
      </c>
      <c r="H11" s="256">
        <f t="shared" si="0"/>
        <v>0.12</v>
      </c>
      <c r="I11" s="361"/>
    </row>
    <row r="12" spans="2:10" ht="13.7" customHeight="1" x14ac:dyDescent="0.2">
      <c r="B12" s="105" t="s">
        <v>38</v>
      </c>
      <c r="C12" s="91"/>
      <c r="D12" s="78" t="s">
        <v>336</v>
      </c>
      <c r="E12" s="74"/>
      <c r="F12" s="78" t="s">
        <v>76</v>
      </c>
      <c r="G12" s="100">
        <v>0.3</v>
      </c>
      <c r="H12" s="256">
        <f t="shared" si="0"/>
        <v>0.3</v>
      </c>
      <c r="I12" s="361"/>
    </row>
    <row r="13" spans="2:10" ht="13.7" customHeight="1" x14ac:dyDescent="0.2">
      <c r="B13" s="77" t="s">
        <v>337</v>
      </c>
      <c r="C13" s="74"/>
      <c r="D13" s="78" t="s">
        <v>286</v>
      </c>
      <c r="E13" s="78"/>
      <c r="F13" s="78" t="s">
        <v>338</v>
      </c>
      <c r="G13" s="110" t="s">
        <v>81</v>
      </c>
      <c r="H13" s="257" t="str">
        <f t="shared" si="0"/>
        <v>chemical specific</v>
      </c>
      <c r="I13" s="361"/>
    </row>
    <row r="14" spans="2:10" ht="13.7" customHeight="1" x14ac:dyDescent="0.2">
      <c r="B14" s="77" t="s">
        <v>339</v>
      </c>
      <c r="C14" s="74"/>
      <c r="D14" s="78" t="s">
        <v>340</v>
      </c>
      <c r="E14" s="78"/>
      <c r="F14" s="78" t="s">
        <v>178</v>
      </c>
      <c r="G14" s="100">
        <v>20</v>
      </c>
      <c r="H14" s="256">
        <f t="shared" si="0"/>
        <v>20</v>
      </c>
      <c r="I14" s="361"/>
    </row>
    <row r="15" spans="2:10" ht="13.7" customHeight="1" x14ac:dyDescent="0.2">
      <c r="B15" s="77" t="s">
        <v>351</v>
      </c>
      <c r="C15" s="74"/>
      <c r="D15" s="78" t="s">
        <v>352</v>
      </c>
      <c r="E15" s="78"/>
      <c r="F15" s="78" t="s">
        <v>178</v>
      </c>
      <c r="G15" s="100">
        <v>10</v>
      </c>
      <c r="H15" s="256">
        <f t="shared" si="0"/>
        <v>10</v>
      </c>
      <c r="I15" s="361"/>
    </row>
    <row r="16" spans="2:10" ht="13.7" customHeight="1" x14ac:dyDescent="0.2">
      <c r="B16" s="77" t="s">
        <v>242</v>
      </c>
      <c r="C16" s="74"/>
      <c r="D16" s="78" t="s">
        <v>243</v>
      </c>
      <c r="E16" s="78"/>
      <c r="F16" s="78" t="s">
        <v>244</v>
      </c>
      <c r="G16" s="101">
        <v>100</v>
      </c>
      <c r="H16" s="414">
        <f t="shared" si="0"/>
        <v>100</v>
      </c>
      <c r="I16" s="361"/>
      <c r="J16" s="79"/>
    </row>
    <row r="17" spans="2:10" ht="13.7" customHeight="1" x14ac:dyDescent="0.2">
      <c r="B17" s="77" t="s">
        <v>52</v>
      </c>
      <c r="C17" s="74"/>
      <c r="D17" s="78" t="s">
        <v>53</v>
      </c>
      <c r="E17" s="78"/>
      <c r="F17" s="78" t="s">
        <v>244</v>
      </c>
      <c r="G17" s="101">
        <v>200</v>
      </c>
      <c r="H17" s="256">
        <f t="shared" si="0"/>
        <v>200</v>
      </c>
      <c r="I17" s="361"/>
      <c r="J17" s="79"/>
    </row>
    <row r="18" spans="2:10" ht="13.7" customHeight="1" x14ac:dyDescent="0.2">
      <c r="B18" s="77" t="s">
        <v>54</v>
      </c>
      <c r="C18" s="74"/>
      <c r="D18" s="78" t="s">
        <v>55</v>
      </c>
      <c r="E18" s="78"/>
      <c r="F18" s="78" t="s">
        <v>244</v>
      </c>
      <c r="G18" s="101">
        <v>100</v>
      </c>
      <c r="H18" s="414">
        <f t="shared" si="0"/>
        <v>100</v>
      </c>
      <c r="I18" s="361"/>
      <c r="J18" s="79"/>
    </row>
    <row r="19" spans="2:10" ht="13.7" customHeight="1" x14ac:dyDescent="0.2">
      <c r="B19" s="105" t="s">
        <v>35</v>
      </c>
      <c r="C19" s="74"/>
      <c r="D19" s="78" t="s">
        <v>56</v>
      </c>
      <c r="E19" s="74"/>
      <c r="F19" s="78" t="s">
        <v>244</v>
      </c>
      <c r="G19" s="101">
        <v>330</v>
      </c>
      <c r="H19" s="414">
        <f t="shared" si="0"/>
        <v>330</v>
      </c>
      <c r="I19" s="361"/>
      <c r="J19" s="79"/>
    </row>
    <row r="20" spans="2:10" ht="13.7" customHeight="1" x14ac:dyDescent="0.2">
      <c r="B20" s="77" t="s">
        <v>185</v>
      </c>
      <c r="C20" s="74"/>
      <c r="D20" s="78" t="s">
        <v>186</v>
      </c>
      <c r="E20" s="78"/>
      <c r="F20" s="78" t="s">
        <v>187</v>
      </c>
      <c r="G20" s="100">
        <v>350</v>
      </c>
      <c r="H20" s="414">
        <f t="shared" si="0"/>
        <v>350</v>
      </c>
      <c r="I20" s="361"/>
      <c r="J20" s="79"/>
    </row>
    <row r="21" spans="2:10" ht="13.7" customHeight="1" x14ac:dyDescent="0.2">
      <c r="B21" s="77" t="s">
        <v>57</v>
      </c>
      <c r="C21" s="74"/>
      <c r="D21" s="78" t="s">
        <v>58</v>
      </c>
      <c r="E21" s="78"/>
      <c r="F21" s="78" t="s">
        <v>187</v>
      </c>
      <c r="G21" s="100">
        <v>250</v>
      </c>
      <c r="H21" s="414">
        <f t="shared" si="0"/>
        <v>250</v>
      </c>
      <c r="I21" s="361"/>
      <c r="J21" s="79"/>
    </row>
    <row r="22" spans="2:10" ht="13.7" customHeight="1" x14ac:dyDescent="0.2">
      <c r="B22" s="105" t="s">
        <v>36</v>
      </c>
      <c r="C22" s="74"/>
      <c r="D22" s="78" t="s">
        <v>59</v>
      </c>
      <c r="E22" s="74"/>
      <c r="F22" s="78" t="s">
        <v>187</v>
      </c>
      <c r="G22" s="100">
        <v>35</v>
      </c>
      <c r="H22" s="414">
        <f t="shared" si="0"/>
        <v>35</v>
      </c>
      <c r="I22" s="361"/>
      <c r="J22" s="79"/>
    </row>
    <row r="23" spans="2:10" ht="13.7" customHeight="1" x14ac:dyDescent="0.2">
      <c r="B23" s="77" t="s">
        <v>188</v>
      </c>
      <c r="C23" s="74"/>
      <c r="D23" s="78" t="s">
        <v>189</v>
      </c>
      <c r="E23" s="78"/>
      <c r="F23" s="78" t="s">
        <v>190</v>
      </c>
      <c r="G23" s="421">
        <v>26</v>
      </c>
      <c r="H23" s="256">
        <f t="shared" si="0"/>
        <v>26</v>
      </c>
      <c r="I23" s="361"/>
      <c r="J23" s="79"/>
    </row>
    <row r="24" spans="2:10" ht="13.7" customHeight="1" x14ac:dyDescent="0.2">
      <c r="B24" s="77" t="s">
        <v>191</v>
      </c>
      <c r="C24" s="74"/>
      <c r="D24" s="78" t="s">
        <v>192</v>
      </c>
      <c r="E24" s="78"/>
      <c r="F24" s="78" t="s">
        <v>190</v>
      </c>
      <c r="G24" s="101">
        <v>6</v>
      </c>
      <c r="H24" s="414">
        <f t="shared" si="0"/>
        <v>6</v>
      </c>
      <c r="I24" s="361"/>
      <c r="J24" s="79"/>
    </row>
    <row r="25" spans="2:10" ht="13.7" customHeight="1" x14ac:dyDescent="0.2">
      <c r="B25" s="77" t="s">
        <v>60</v>
      </c>
      <c r="C25" s="74"/>
      <c r="D25" s="78" t="s">
        <v>192</v>
      </c>
      <c r="E25" s="78"/>
      <c r="F25" s="78" t="s">
        <v>190</v>
      </c>
      <c r="G25" s="101">
        <v>25</v>
      </c>
      <c r="H25" s="414">
        <f t="shared" si="0"/>
        <v>25</v>
      </c>
      <c r="I25" s="361"/>
      <c r="J25" s="79"/>
    </row>
    <row r="26" spans="2:10" ht="13.7" customHeight="1" x14ac:dyDescent="0.2">
      <c r="B26" s="105" t="s">
        <v>37</v>
      </c>
      <c r="C26" s="74"/>
      <c r="D26" s="78" t="s">
        <v>192</v>
      </c>
      <c r="E26" s="74"/>
      <c r="F26" s="78" t="s">
        <v>190</v>
      </c>
      <c r="G26" s="101">
        <v>7</v>
      </c>
      <c r="H26" s="414">
        <f t="shared" si="0"/>
        <v>7</v>
      </c>
      <c r="I26" s="361"/>
      <c r="J26" s="79"/>
    </row>
    <row r="27" spans="2:10" ht="13.7" customHeight="1" x14ac:dyDescent="0.2">
      <c r="B27" s="77" t="s">
        <v>251</v>
      </c>
      <c r="C27" s="74"/>
      <c r="D27" s="78" t="s">
        <v>192</v>
      </c>
      <c r="E27" s="78"/>
      <c r="F27" s="78" t="s">
        <v>190</v>
      </c>
      <c r="G27" s="101">
        <v>2</v>
      </c>
      <c r="H27" s="414">
        <f t="shared" si="0"/>
        <v>2</v>
      </c>
      <c r="I27" s="361"/>
      <c r="J27" s="79"/>
    </row>
    <row r="28" spans="2:10" ht="13.7" customHeight="1" x14ac:dyDescent="0.2">
      <c r="B28" s="77" t="s">
        <v>252</v>
      </c>
      <c r="C28" s="74"/>
      <c r="D28" s="78" t="s">
        <v>192</v>
      </c>
      <c r="E28" s="78"/>
      <c r="F28" s="78" t="s">
        <v>190</v>
      </c>
      <c r="G28" s="101">
        <v>4</v>
      </c>
      <c r="H28" s="414">
        <f t="shared" si="0"/>
        <v>4</v>
      </c>
      <c r="I28" s="361"/>
      <c r="J28" s="79"/>
    </row>
    <row r="29" spans="2:10" ht="13.7" customHeight="1" x14ac:dyDescent="0.2">
      <c r="B29" s="77" t="s">
        <v>253</v>
      </c>
      <c r="C29" s="74"/>
      <c r="D29" s="78" t="s">
        <v>192</v>
      </c>
      <c r="E29" s="78"/>
      <c r="F29" s="78" t="s">
        <v>190</v>
      </c>
      <c r="G29" s="101">
        <v>10</v>
      </c>
      <c r="H29" s="414">
        <f t="shared" si="0"/>
        <v>10</v>
      </c>
      <c r="I29" s="361"/>
      <c r="J29" s="79"/>
    </row>
    <row r="30" spans="2:10" ht="13.7" customHeight="1" x14ac:dyDescent="0.2">
      <c r="B30" s="77" t="s">
        <v>250</v>
      </c>
      <c r="C30" s="74"/>
      <c r="D30" s="78" t="s">
        <v>192</v>
      </c>
      <c r="E30" s="78"/>
      <c r="F30" s="78" t="s">
        <v>190</v>
      </c>
      <c r="G30" s="101">
        <v>14</v>
      </c>
      <c r="H30" s="414">
        <f t="shared" si="0"/>
        <v>14</v>
      </c>
      <c r="I30" s="361"/>
      <c r="J30" s="79"/>
    </row>
    <row r="31" spans="2:10" ht="13.7" customHeight="1" x14ac:dyDescent="0.2">
      <c r="B31" s="77" t="s">
        <v>167</v>
      </c>
      <c r="C31" s="74"/>
      <c r="D31" s="78" t="s">
        <v>192</v>
      </c>
      <c r="E31" s="78"/>
      <c r="F31" s="78" t="s">
        <v>190</v>
      </c>
      <c r="G31" s="101">
        <f>70-16</f>
        <v>54</v>
      </c>
      <c r="H31" s="414">
        <f t="shared" si="0"/>
        <v>54</v>
      </c>
      <c r="I31" s="361"/>
      <c r="J31" s="79"/>
    </row>
    <row r="32" spans="2:10" ht="13.7" customHeight="1" x14ac:dyDescent="0.2">
      <c r="B32" s="77" t="s">
        <v>207</v>
      </c>
      <c r="C32" s="74"/>
      <c r="D32" s="78" t="s">
        <v>210</v>
      </c>
      <c r="E32" s="74"/>
      <c r="F32" s="78" t="s">
        <v>211</v>
      </c>
      <c r="G32" s="101">
        <v>24</v>
      </c>
      <c r="H32" s="414">
        <f t="shared" si="0"/>
        <v>24</v>
      </c>
      <c r="I32" s="361"/>
      <c r="J32" s="79"/>
    </row>
    <row r="33" spans="2:10" ht="13.7" customHeight="1" x14ac:dyDescent="0.2">
      <c r="B33" s="77" t="s">
        <v>208</v>
      </c>
      <c r="C33" s="74"/>
      <c r="D33" s="78" t="s">
        <v>209</v>
      </c>
      <c r="E33" s="74"/>
      <c r="F33" s="78" t="s">
        <v>211</v>
      </c>
      <c r="G33" s="101">
        <v>8</v>
      </c>
      <c r="H33" s="414">
        <f t="shared" si="0"/>
        <v>8</v>
      </c>
      <c r="I33" s="361"/>
      <c r="J33" s="79"/>
    </row>
    <row r="34" spans="2:10" ht="13.7" customHeight="1" x14ac:dyDescent="0.2">
      <c r="B34" s="77" t="s">
        <v>193</v>
      </c>
      <c r="C34" s="74"/>
      <c r="D34" s="78" t="s">
        <v>194</v>
      </c>
      <c r="E34" s="78"/>
      <c r="F34" s="78" t="s">
        <v>195</v>
      </c>
      <c r="G34" s="420">
        <v>70</v>
      </c>
      <c r="H34" s="414">
        <v>70</v>
      </c>
      <c r="I34" s="361"/>
    </row>
    <row r="35" spans="2:10" ht="13.7" customHeight="1" x14ac:dyDescent="0.2">
      <c r="B35" s="77" t="s">
        <v>196</v>
      </c>
      <c r="C35" s="74"/>
      <c r="D35" s="78" t="s">
        <v>197</v>
      </c>
      <c r="E35" s="78"/>
      <c r="F35" s="78" t="s">
        <v>195</v>
      </c>
      <c r="G35" s="100">
        <v>15</v>
      </c>
      <c r="H35" s="414">
        <f t="shared" si="0"/>
        <v>15</v>
      </c>
      <c r="I35" s="361"/>
    </row>
    <row r="36" spans="2:10" ht="13.7" customHeight="1" x14ac:dyDescent="0.2">
      <c r="B36" s="77" t="s">
        <v>198</v>
      </c>
      <c r="C36" s="74"/>
      <c r="D36" s="78" t="s">
        <v>199</v>
      </c>
      <c r="E36" s="78"/>
      <c r="F36" s="78" t="s">
        <v>190</v>
      </c>
      <c r="G36" s="100">
        <v>70</v>
      </c>
      <c r="H36" s="414">
        <f t="shared" si="0"/>
        <v>70</v>
      </c>
      <c r="I36" s="361"/>
    </row>
    <row r="37" spans="2:10" ht="13.7" customHeight="1" x14ac:dyDescent="0.2">
      <c r="B37" s="77" t="s">
        <v>200</v>
      </c>
      <c r="C37" s="74"/>
      <c r="D37" s="78"/>
      <c r="E37" s="78"/>
      <c r="F37" s="78" t="s">
        <v>201</v>
      </c>
      <c r="G37" s="100">
        <v>365</v>
      </c>
      <c r="H37" s="414">
        <f t="shared" si="0"/>
        <v>365</v>
      </c>
      <c r="I37" s="361"/>
      <c r="J37" s="79"/>
    </row>
    <row r="38" spans="2:10" ht="13.7" customHeight="1" x14ac:dyDescent="0.2">
      <c r="B38" s="77" t="s">
        <v>1</v>
      </c>
      <c r="C38" s="74"/>
      <c r="D38" s="78" t="s">
        <v>202</v>
      </c>
      <c r="E38" s="78"/>
      <c r="F38" s="78"/>
      <c r="G38" s="369">
        <f>IF(VLOOKUP('Tier 2 Direct Exposure ALs'!C17,'Tier 2 Direct Exposure ALs'!I22:L171,2)=0,"-",VLOOKUP('Tier 2 Direct Exposure ALs'!C17,'Tier 2 Direct Exposure ALs'!I22:L171,2))</f>
        <v>1.0000000000000001E-5</v>
      </c>
      <c r="H38" s="422">
        <v>9.9999999999999995E-7</v>
      </c>
      <c r="I38" s="361"/>
      <c r="J38" s="79"/>
    </row>
    <row r="39" spans="2:10" ht="13.7" customHeight="1" x14ac:dyDescent="0.2">
      <c r="B39" s="77" t="s">
        <v>2</v>
      </c>
      <c r="C39" s="74"/>
      <c r="D39" s="78"/>
      <c r="E39" s="78"/>
      <c r="F39" s="78"/>
      <c r="G39" s="369">
        <v>9.9999999999999995E-7</v>
      </c>
      <c r="H39" s="422">
        <v>9.9999999999999995E-7</v>
      </c>
      <c r="I39" s="361"/>
      <c r="J39" s="79"/>
    </row>
    <row r="40" spans="2:10" ht="13.7" customHeight="1" thickBot="1" x14ac:dyDescent="0.25">
      <c r="B40" s="365" t="s">
        <v>512</v>
      </c>
      <c r="C40" s="366"/>
      <c r="D40" s="367" t="s">
        <v>204</v>
      </c>
      <c r="E40" s="367"/>
      <c r="F40" s="367"/>
      <c r="G40" s="368">
        <v>1</v>
      </c>
      <c r="H40" s="417">
        <f>G40</f>
        <v>1</v>
      </c>
      <c r="I40" s="361"/>
      <c r="J40" s="79"/>
    </row>
    <row r="41" spans="2:10" ht="13.7" customHeight="1" thickTop="1" x14ac:dyDescent="0.2">
      <c r="B41" s="74" t="s">
        <v>513</v>
      </c>
      <c r="C41" s="74"/>
      <c r="D41" s="78"/>
      <c r="E41" s="78"/>
      <c r="F41" s="78"/>
      <c r="G41" s="78"/>
      <c r="H41" s="78"/>
      <c r="I41" s="361"/>
      <c r="J41" s="79"/>
    </row>
    <row r="42" spans="2:10" ht="13.7" customHeight="1" thickBot="1" x14ac:dyDescent="0.25">
      <c r="B42" s="74"/>
      <c r="C42" s="74"/>
      <c r="D42" s="78"/>
      <c r="E42" s="78"/>
      <c r="F42" s="78"/>
      <c r="G42" s="78"/>
      <c r="H42" s="78"/>
      <c r="I42" s="361"/>
      <c r="J42" s="79"/>
    </row>
    <row r="43" spans="2:10" ht="13.7" customHeight="1" thickTop="1" thickBot="1" x14ac:dyDescent="0.25">
      <c r="B43" s="81" t="s">
        <v>309</v>
      </c>
      <c r="C43" s="75"/>
      <c r="D43" s="76"/>
      <c r="E43" s="76"/>
      <c r="F43" s="82"/>
      <c r="G43" s="83"/>
      <c r="H43" s="84"/>
      <c r="I43" s="361"/>
      <c r="J43" s="80"/>
    </row>
    <row r="44" spans="2:10" ht="13.7" customHeight="1" thickBot="1" x14ac:dyDescent="0.25">
      <c r="B44" s="85" t="s">
        <v>39</v>
      </c>
      <c r="C44" s="86"/>
      <c r="D44" s="87"/>
      <c r="E44" s="87"/>
      <c r="F44" s="88"/>
      <c r="G44" s="89"/>
      <c r="H44" s="78"/>
      <c r="I44" s="361"/>
      <c r="J44" s="70"/>
    </row>
    <row r="45" spans="2:10" ht="13.7" customHeight="1" x14ac:dyDescent="0.2">
      <c r="B45" s="90" t="s">
        <v>310</v>
      </c>
      <c r="C45" s="91"/>
      <c r="D45" s="78"/>
      <c r="E45" s="78"/>
      <c r="F45" s="84"/>
      <c r="G45" s="370"/>
      <c r="H45" s="78"/>
      <c r="I45" s="361"/>
    </row>
    <row r="46" spans="2:10" ht="13.7" customHeight="1" x14ac:dyDescent="0.2">
      <c r="B46" s="77" t="s">
        <v>62</v>
      </c>
      <c r="C46" s="74"/>
      <c r="D46" s="78" t="s">
        <v>63</v>
      </c>
      <c r="E46" s="78"/>
      <c r="F46" s="78" t="s">
        <v>64</v>
      </c>
      <c r="G46" s="111">
        <f>((H24*H17)/H35)+(H23-H24)*H16/H34</f>
        <v>108.57142857142857</v>
      </c>
      <c r="H46" s="24"/>
      <c r="I46" s="361"/>
      <c r="J46" s="70"/>
    </row>
    <row r="47" spans="2:10" ht="13.7" customHeight="1" x14ac:dyDescent="0.2">
      <c r="B47" s="77" t="s">
        <v>65</v>
      </c>
      <c r="C47" s="74"/>
      <c r="D47" s="78" t="s">
        <v>66</v>
      </c>
      <c r="E47" s="78"/>
      <c r="F47" s="78" t="s">
        <v>64</v>
      </c>
      <c r="G47" s="111">
        <f>((H24*H10*H6)/H35)+((H23-H24)*H9*H5)/H34</f>
        <v>310.48</v>
      </c>
      <c r="H47" s="24"/>
      <c r="I47" s="361"/>
      <c r="J47" s="70"/>
    </row>
    <row r="48" spans="2:10" ht="13.7" customHeight="1" x14ac:dyDescent="0.2">
      <c r="B48" s="77" t="s">
        <v>246</v>
      </c>
      <c r="C48" s="74"/>
      <c r="D48" s="78" t="s">
        <v>248</v>
      </c>
      <c r="E48" s="78"/>
      <c r="F48" s="78" t="s">
        <v>64</v>
      </c>
      <c r="G48" s="111">
        <f>(((H27*H17)/H35)*10)+(((H28*H17)/H35)*3)+(((H29*H16)/H34)*3)+(((H30*H16)/H34)*1)</f>
        <v>489.52380952380952</v>
      </c>
      <c r="H48" s="24"/>
      <c r="I48" s="361"/>
      <c r="J48" s="70"/>
    </row>
    <row r="49" spans="2:10" ht="13.7" customHeight="1" x14ac:dyDescent="0.2">
      <c r="B49" s="92" t="s">
        <v>247</v>
      </c>
      <c r="C49" s="93"/>
      <c r="D49" s="94" t="s">
        <v>249</v>
      </c>
      <c r="E49" s="94"/>
      <c r="F49" s="94" t="s">
        <v>64</v>
      </c>
      <c r="G49" s="102">
        <f>((H27*H10*H6*10)/H35)+((H28*H10*H6*3)/H35)+((H29*H9*H5*3)/H34)+((H30*H9*H5*1)/H34)</f>
        <v>1277.8880000000001</v>
      </c>
      <c r="H49" s="24"/>
      <c r="I49" s="361"/>
      <c r="J49" s="70"/>
    </row>
    <row r="50" spans="2:10" ht="13.7" customHeight="1" x14ac:dyDescent="0.2">
      <c r="B50" s="90" t="s">
        <v>67</v>
      </c>
      <c r="C50" s="74"/>
      <c r="D50" s="78"/>
      <c r="E50" s="78"/>
      <c r="F50" s="78"/>
      <c r="G50" s="111"/>
      <c r="H50" s="24"/>
      <c r="I50" s="361"/>
      <c r="J50" s="70"/>
    </row>
    <row r="51" spans="2:10" ht="13.7" customHeight="1" x14ac:dyDescent="0.2">
      <c r="B51" s="77" t="s">
        <v>68</v>
      </c>
      <c r="D51" s="71" t="s">
        <v>69</v>
      </c>
      <c r="E51" s="78"/>
      <c r="F51" s="84"/>
      <c r="G51" s="112">
        <f>1-('Tier 2 Direct Exposure ALs'!$D$23/'Tier 2 Direct Exposure ALs'!$D$24)</f>
        <v>0.43396226415094341</v>
      </c>
      <c r="H51" s="106"/>
      <c r="I51" s="361"/>
    </row>
    <row r="52" spans="2:10" ht="13.7" customHeight="1" x14ac:dyDescent="0.2">
      <c r="B52" s="77" t="s">
        <v>70</v>
      </c>
      <c r="C52" s="91"/>
      <c r="D52" s="78" t="s">
        <v>71</v>
      </c>
      <c r="E52" s="78"/>
      <c r="F52" s="84" t="s">
        <v>77</v>
      </c>
      <c r="G52" s="112">
        <f>G51-'Tier 2 Direct Exposure ALs'!$D$25*'Tier 2 Direct Exposure ALs'!$D$23</f>
        <v>0.28396226415094339</v>
      </c>
      <c r="H52" s="106"/>
      <c r="I52" s="361"/>
    </row>
    <row r="53" spans="2:10" ht="13.7" customHeight="1" thickBot="1" x14ac:dyDescent="0.25">
      <c r="B53" s="77" t="s">
        <v>72</v>
      </c>
      <c r="C53" s="91"/>
      <c r="D53" s="78" t="s">
        <v>73</v>
      </c>
      <c r="E53" s="78"/>
      <c r="F53" s="84" t="s">
        <v>78</v>
      </c>
      <c r="G53" s="112">
        <f>'Tier 2 Direct Exposure ALs'!$D$25*'Tier 2 Direct Exposure ALs'!$D$23</f>
        <v>0.15000000000000002</v>
      </c>
      <c r="H53" s="106"/>
      <c r="I53" s="361"/>
    </row>
    <row r="54" spans="2:10" ht="8.25" customHeight="1" thickTop="1" x14ac:dyDescent="0.2">
      <c r="B54" s="95"/>
      <c r="C54" s="96"/>
      <c r="D54" s="97"/>
      <c r="E54" s="97"/>
      <c r="F54" s="97"/>
      <c r="G54" s="98"/>
      <c r="H54" s="84"/>
      <c r="I54" s="70"/>
      <c r="J54" s="70"/>
    </row>
    <row r="55" spans="2:10" ht="12.6" customHeight="1" x14ac:dyDescent="0.2">
      <c r="B55" s="109" t="s">
        <v>311</v>
      </c>
      <c r="C55" s="108"/>
      <c r="D55" s="24"/>
      <c r="E55" s="24"/>
      <c r="F55" s="24"/>
      <c r="G55" s="24"/>
      <c r="H55" s="24"/>
      <c r="I55" s="70"/>
      <c r="J55" s="70"/>
    </row>
    <row r="56" spans="2:10" ht="12.6" customHeight="1" x14ac:dyDescent="0.2">
      <c r="B56" s="108" t="s">
        <v>567</v>
      </c>
      <c r="C56" s="108"/>
      <c r="D56" s="24"/>
      <c r="E56" s="24"/>
      <c r="F56" s="24"/>
      <c r="G56" s="24"/>
      <c r="H56" s="24"/>
      <c r="I56" s="70"/>
      <c r="J56" s="70"/>
    </row>
    <row r="57" spans="2:10" ht="12.6" customHeight="1" x14ac:dyDescent="0.2">
      <c r="B57" s="108" t="s">
        <v>568</v>
      </c>
      <c r="C57" s="108"/>
      <c r="D57" s="24"/>
      <c r="E57" s="24"/>
      <c r="F57" s="24"/>
      <c r="G57" s="24"/>
      <c r="H57" s="24"/>
      <c r="I57" s="70"/>
      <c r="J57" s="70"/>
    </row>
    <row r="58" spans="2:10" ht="6.75" customHeight="1" x14ac:dyDescent="0.2">
      <c r="C58" s="108"/>
      <c r="D58" s="24"/>
      <c r="E58" s="24"/>
      <c r="F58" s="24"/>
      <c r="G58" s="24"/>
      <c r="H58" s="24"/>
      <c r="I58" s="70"/>
      <c r="J58" s="70"/>
    </row>
    <row r="59" spans="2:10" ht="12.6" customHeight="1" x14ac:dyDescent="0.2">
      <c r="B59" s="159" t="s">
        <v>184</v>
      </c>
      <c r="I59" s="70"/>
      <c r="J59" s="70"/>
    </row>
    <row r="60" spans="2:10" ht="24.75" customHeight="1" x14ac:dyDescent="0.2">
      <c r="B60" s="496" t="s">
        <v>565</v>
      </c>
      <c r="C60" s="472"/>
      <c r="D60" s="472"/>
      <c r="E60" s="472"/>
      <c r="F60" s="472"/>
      <c r="G60" s="472"/>
      <c r="H60" s="472"/>
      <c r="I60" s="70"/>
      <c r="J60" s="70"/>
    </row>
    <row r="61" spans="2:10" customFormat="1" ht="25.5" customHeight="1" x14ac:dyDescent="0.2">
      <c r="B61" s="496" t="s">
        <v>566</v>
      </c>
      <c r="C61" s="472"/>
      <c r="D61" s="472"/>
      <c r="E61" s="472"/>
      <c r="F61" s="472"/>
      <c r="G61" s="472"/>
      <c r="H61" s="472"/>
    </row>
    <row r="62" spans="2:10" ht="12.6" customHeight="1" x14ac:dyDescent="0.2">
      <c r="I62" s="70"/>
      <c r="J62" s="70"/>
    </row>
    <row r="63" spans="2:10" ht="12.6" customHeight="1" x14ac:dyDescent="0.2">
      <c r="I63" s="70"/>
      <c r="J63" s="70"/>
    </row>
    <row r="64" spans="2:10" s="103" customFormat="1" ht="12.6" customHeight="1" x14ac:dyDescent="0.2"/>
    <row r="65" s="103" customFormat="1" ht="12.6" customHeight="1" x14ac:dyDescent="0.2"/>
    <row r="66" s="103" customFormat="1" ht="12.6" customHeight="1" x14ac:dyDescent="0.2"/>
    <row r="67" s="103" customFormat="1" ht="12.6" customHeight="1" x14ac:dyDescent="0.2"/>
    <row r="68" ht="12.6" customHeight="1" x14ac:dyDescent="0.2"/>
    <row r="69" ht="12.6" customHeight="1" x14ac:dyDescent="0.2"/>
    <row r="70" ht="12.6" customHeight="1" x14ac:dyDescent="0.2"/>
    <row r="71" ht="12.6" customHeight="1" x14ac:dyDescent="0.2"/>
    <row r="72" ht="12.6" customHeight="1" x14ac:dyDescent="0.2"/>
    <row r="73" ht="12.6" customHeight="1" x14ac:dyDescent="0.2"/>
    <row r="74" ht="12.6" customHeight="1" x14ac:dyDescent="0.2"/>
    <row r="75" ht="12.6" customHeight="1" x14ac:dyDescent="0.2"/>
    <row r="76" ht="12.6" customHeight="1" x14ac:dyDescent="0.2"/>
    <row r="77" ht="12.6" customHeight="1" x14ac:dyDescent="0.2"/>
    <row r="78" ht="12.6" customHeight="1" x14ac:dyDescent="0.2"/>
    <row r="79" ht="12.6" customHeight="1" x14ac:dyDescent="0.2"/>
    <row r="80" ht="12.6" customHeight="1" x14ac:dyDescent="0.2"/>
    <row r="81" ht="10.7" customHeight="1" x14ac:dyDescent="0.2"/>
    <row r="82" ht="10.7" customHeight="1" x14ac:dyDescent="0.2"/>
    <row r="83" ht="10.7" customHeight="1" x14ac:dyDescent="0.2"/>
  </sheetData>
  <sheetProtection algorithmName="SHA-512" hashValue="wXAddF4eGhSwWw03vSbv8IqccXkoEFvFT/MADrPPptnJ+2fjeZTEAd6UqXGx7dZjCmO8k811865LaUPieXKLwQ==" saltValue="w+aSE92RweqpYCMWfqbd4w==" spinCount="100000" sheet="1" objects="1" scenarios="1"/>
  <mergeCells count="2">
    <mergeCell ref="B60:H60"/>
    <mergeCell ref="B61:H61"/>
  </mergeCells>
  <phoneticPr fontId="0" type="noConversion"/>
  <printOptions horizontalCentered="1"/>
  <pageMargins left="0.17" right="0.16" top="0.53" bottom="0.59" header="0.5" footer="0.25"/>
  <pageSetup scale="87" orientation="portrait" r:id="rId1"/>
  <headerFooter alignWithMargins="0">
    <oddFooter>&amp;LHawai'i DOH
Summer 2016&amp;C&amp;8Page &amp;P of &amp;N&amp;R&amp;A</oddFooter>
  </headerFooter>
  <rowBreaks count="1" manualBreakCount="1">
    <brk id="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autoPageBreaks="0"/>
  </sheetPr>
  <dimension ref="B1:CS545"/>
  <sheetViews>
    <sheetView view="pageLayout" zoomScaleNormal="100" workbookViewId="0">
      <selection activeCell="B3" sqref="B3:D3"/>
    </sheetView>
  </sheetViews>
  <sheetFormatPr defaultRowHeight="11.25" x14ac:dyDescent="0.2"/>
  <cols>
    <col min="1" max="1" width="3.85546875" style="116" customWidth="1"/>
    <col min="2" max="2" width="43.42578125" style="113" customWidth="1"/>
    <col min="3" max="3" width="9.85546875" style="113" customWidth="1"/>
    <col min="4" max="4" width="10.28515625" style="113" customWidth="1"/>
    <col min="5" max="5" width="9.7109375" style="113" customWidth="1"/>
    <col min="6" max="6" width="9.28515625" style="113" bestFit="1" customWidth="1"/>
    <col min="7" max="7" width="17" style="69" customWidth="1"/>
    <col min="8" max="8" width="15.28515625" style="69" customWidth="1"/>
    <col min="9" max="9" width="9.28515625" style="114" bestFit="1" customWidth="1"/>
    <col min="10" max="11" width="11.7109375" style="114" customWidth="1"/>
    <col min="12" max="18" width="11.7109375" style="115" customWidth="1"/>
    <col min="19" max="26" width="14.7109375" style="115" customWidth="1"/>
    <col min="27" max="37" width="14.7109375" style="114" customWidth="1"/>
    <col min="38" max="46" width="14.7109375" style="116" customWidth="1"/>
    <col min="47" max="49" width="9.140625" style="116"/>
    <col min="50" max="50" width="11.85546875" style="116" customWidth="1"/>
    <col min="51" max="52" width="9.140625" style="116"/>
    <col min="53" max="53" width="9.5703125" style="116" customWidth="1"/>
    <col min="54" max="54" width="11.7109375" style="116" customWidth="1"/>
    <col min="55" max="55" width="14.5703125" style="116" customWidth="1"/>
    <col min="56" max="56" width="14.140625" style="116" customWidth="1"/>
    <col min="57" max="58" width="9.140625" style="116"/>
    <col min="59" max="59" width="11.85546875" style="116" customWidth="1"/>
    <col min="60" max="60" width="12.140625" style="116" customWidth="1"/>
    <col min="61" max="61" width="9.140625" style="116"/>
    <col min="62" max="62" width="10.42578125" style="116" customWidth="1"/>
    <col min="63" max="63" width="11.5703125" style="116" customWidth="1"/>
    <col min="64" max="64" width="14.42578125" style="116" customWidth="1"/>
    <col min="65" max="65" width="15.5703125" style="116" customWidth="1"/>
    <col min="66" max="68" width="9.140625" style="116"/>
    <col min="69" max="69" width="11.7109375" style="116" customWidth="1"/>
    <col min="70" max="71" width="9.140625" style="116"/>
    <col min="72" max="72" width="10" style="116" customWidth="1"/>
    <col min="73" max="73" width="11.7109375" style="116" customWidth="1"/>
    <col min="74" max="74" width="16" style="116" customWidth="1"/>
    <col min="75" max="75" width="14.42578125" style="116" customWidth="1"/>
    <col min="76" max="77" width="9.140625" style="116"/>
    <col min="78" max="78" width="11.7109375" style="116" customWidth="1"/>
    <col min="79" max="80" width="9.140625" style="116"/>
    <col min="81" max="81" width="9.85546875" style="116" customWidth="1"/>
    <col min="82" max="82" width="11.42578125" style="116" customWidth="1"/>
    <col min="83" max="83" width="15.140625" style="116" customWidth="1"/>
    <col min="84" max="84" width="14.7109375" style="116" customWidth="1"/>
    <col min="85" max="16384" width="9.140625" style="116"/>
  </cols>
  <sheetData>
    <row r="1" spans="2:97" ht="15.75" x14ac:dyDescent="0.25">
      <c r="B1" s="363" t="s">
        <v>508</v>
      </c>
      <c r="C1" s="364"/>
      <c r="D1" s="364"/>
      <c r="E1" s="362"/>
      <c r="F1" s="362"/>
      <c r="G1" s="362"/>
      <c r="H1" s="362"/>
      <c r="I1" s="362"/>
      <c r="J1" s="362"/>
      <c r="K1" s="362"/>
    </row>
    <row r="2" spans="2:97" ht="12" thickBot="1" x14ac:dyDescent="0.25"/>
    <row r="3" spans="2:97" s="118" customFormat="1" ht="20.25" customHeight="1" thickTop="1" thickBot="1" x14ac:dyDescent="0.25">
      <c r="B3" s="497" t="str">
        <f>'Tier 2 Direct Exposure ALs'!C17</f>
        <v>POLYCHLORINATED BIPHENYLS (PCBs)</v>
      </c>
      <c r="C3" s="498"/>
      <c r="D3" s="499"/>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row>
    <row r="4" spans="2:97" s="118" customFormat="1" ht="12" customHeight="1" thickTop="1" thickBot="1" x14ac:dyDescent="0.25">
      <c r="B4" s="280"/>
      <c r="C4" s="281"/>
      <c r="D4" s="281"/>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row>
    <row r="5" spans="2:97" s="119" customFormat="1" ht="12" customHeight="1" thickTop="1" thickBot="1" x14ac:dyDescent="0.25">
      <c r="B5" s="270" t="s">
        <v>474</v>
      </c>
      <c r="C5" s="282"/>
      <c r="D5" s="283"/>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row>
    <row r="6" spans="2:97" s="131" customFormat="1" ht="12" customHeight="1" x14ac:dyDescent="0.2">
      <c r="B6" s="271" t="s">
        <v>472</v>
      </c>
      <c r="C6" s="317"/>
      <c r="D6" s="272" t="str">
        <f>VLOOKUP('Tier 2 Direct Exposure ALs'!C17,'Table H (Constants)'!A10:R162,2)</f>
        <v>SV</v>
      </c>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row>
    <row r="7" spans="2:97" s="131" customFormat="1" ht="12" customHeight="1" x14ac:dyDescent="0.2">
      <c r="B7" s="273" t="s">
        <v>473</v>
      </c>
      <c r="C7" s="318"/>
      <c r="D7" s="274" t="str">
        <f>VLOOKUP('Tier 2 Direct Exposure ALs'!C17,'Table H (Constants)'!A10:R162,3)</f>
        <v>S</v>
      </c>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row>
    <row r="8" spans="2:97" s="131" customFormat="1" ht="12" customHeight="1" x14ac:dyDescent="0.2">
      <c r="B8" s="273" t="s">
        <v>480</v>
      </c>
      <c r="C8" s="318"/>
      <c r="D8" s="274">
        <f>VLOOKUP('Tier 2 Direct Exposure ALs'!C17,'Table H (Constants)'!A10:R162,5)</f>
        <v>326.44</v>
      </c>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row>
    <row r="9" spans="2:97" s="131" customFormat="1" ht="12" customHeight="1" x14ac:dyDescent="0.2">
      <c r="B9" s="273" t="s">
        <v>475</v>
      </c>
      <c r="C9" s="319" t="s">
        <v>469</v>
      </c>
      <c r="D9" s="274">
        <f>VLOOKUP('Tier 2 Direct Exposure ALs'!C17,'Table H (Constants)'!A10:R162,6)</f>
        <v>130500</v>
      </c>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row>
    <row r="10" spans="2:97" s="131" customFormat="1" ht="12" customHeight="1" x14ac:dyDescent="0.2">
      <c r="B10" s="273" t="s">
        <v>481</v>
      </c>
      <c r="C10" s="319" t="s">
        <v>470</v>
      </c>
      <c r="D10" s="311">
        <f>VLOOKUP('Tier 2 Direct Exposure ALs'!C17,'Table H (Constants)'!A10:R162,7)</f>
        <v>2.4E-2</v>
      </c>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row>
    <row r="11" spans="2:97" s="131" customFormat="1" ht="12" customHeight="1" x14ac:dyDescent="0.2">
      <c r="B11" s="273" t="s">
        <v>482</v>
      </c>
      <c r="C11" s="319" t="s">
        <v>470</v>
      </c>
      <c r="D11" s="311">
        <f>VLOOKUP('Tier 2 Direct Exposure ALs'!C17,'Table H (Constants)'!A10:R162,8)</f>
        <v>6.1E-6</v>
      </c>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row>
    <row r="12" spans="2:97" s="131" customFormat="1" ht="12" customHeight="1" x14ac:dyDescent="0.2">
      <c r="B12" s="273" t="s">
        <v>483</v>
      </c>
      <c r="C12" s="319" t="s">
        <v>484</v>
      </c>
      <c r="D12" s="311">
        <f>VLOOKUP('Tier 2 Direct Exposure ALs'!C17,'Table H (Constants)'!A10:R162,10)</f>
        <v>7.7000000000000001E-5</v>
      </c>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row>
    <row r="13" spans="2:97" s="131" customFormat="1" ht="12" customHeight="1" x14ac:dyDescent="0.2">
      <c r="B13" s="273" t="s">
        <v>479</v>
      </c>
      <c r="C13" s="319" t="s">
        <v>478</v>
      </c>
      <c r="D13" s="311">
        <f>VLOOKUP('Tier 2 Direct Exposure ALs'!C17,'Table H (Constants)'!A10:R162,11)</f>
        <v>2.7999999999999998E-4</v>
      </c>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row>
    <row r="14" spans="2:97" s="131" customFormat="1" ht="12" customHeight="1" x14ac:dyDescent="0.2">
      <c r="B14" s="273" t="s">
        <v>479</v>
      </c>
      <c r="C14" s="319" t="s">
        <v>338</v>
      </c>
      <c r="D14" s="312">
        <f>VLOOKUP('Tier 2 Direct Exposure ALs'!C17,'Table H (Constants)'!A10:R162,12)</f>
        <v>1.2E-2</v>
      </c>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row>
    <row r="15" spans="2:97" s="131" customFormat="1" ht="12" customHeight="1" x14ac:dyDescent="0.2">
      <c r="B15" s="273" t="s">
        <v>515</v>
      </c>
      <c r="C15" s="319" t="s">
        <v>61</v>
      </c>
      <c r="D15" s="312" t="str">
        <f>IF('Tier 2 Direct Exposure ALs'!C17='Tier 2 Direct Exposure ALs'!I149,500,(IF(D7="S","NA",(IF(D6="NV","N/A",((D12/'Tier 2 Direct Exposure ALs'!D23)*((('Tier 2 Calculations Detailed'!D9*'Tier 2 Direct Exposure ALs'!D26)*'Tier 2 Direct Exposure ALs'!D23)+'Soil DE Model Factors'!G53+('Tier 2 Calculations Detailed'!D14*'Soil DE Model Factors'!G52))))))))</f>
        <v>NA</v>
      </c>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row>
    <row r="16" spans="2:97" s="131" customFormat="1" ht="12" customHeight="1" x14ac:dyDescent="0.2">
      <c r="B16" s="273" t="s">
        <v>486</v>
      </c>
      <c r="C16" s="319" t="s">
        <v>338</v>
      </c>
      <c r="D16" s="311">
        <f>VLOOKUP('Tier 2 Direct Exposure ALs'!C17,'Table H (Constants)'!A10:R162,13)</f>
        <v>1</v>
      </c>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row>
    <row r="17" spans="2:97" s="131" customFormat="1" ht="12" customHeight="1" x14ac:dyDescent="0.2">
      <c r="B17" s="273" t="s">
        <v>487</v>
      </c>
      <c r="C17" s="319" t="s">
        <v>338</v>
      </c>
      <c r="D17" s="311">
        <f>VLOOKUP('Tier 2 Direct Exposure ALs'!C17,'Table H (Constants)'!A10:R162,14)</f>
        <v>0.14000000000000001</v>
      </c>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row>
    <row r="18" spans="2:97" s="131" customFormat="1" ht="12" customHeight="1" x14ac:dyDescent="0.2">
      <c r="B18" s="273" t="s">
        <v>497</v>
      </c>
      <c r="C18" s="319"/>
      <c r="D18" s="311" t="str">
        <f>IF(VLOOKUP('Tier 2 Direct Exposure ALs'!C17,'Table J (Target Health Effects)'!A5:C158,3)="M","Yes","No")</f>
        <v>No</v>
      </c>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row>
    <row r="19" spans="2:97" s="131" customFormat="1" ht="12" customHeight="1" x14ac:dyDescent="0.2">
      <c r="B19" s="273" t="s">
        <v>488</v>
      </c>
      <c r="C19" s="319" t="s">
        <v>490</v>
      </c>
      <c r="D19" s="311">
        <f>VLOOKUP('Tier 2 Direct Exposure ALs'!C17,'Table H (Constants)'!A10:R163,15)</f>
        <v>2</v>
      </c>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row>
    <row r="20" spans="2:97" s="131" customFormat="1" ht="12" customHeight="1" x14ac:dyDescent="0.2">
      <c r="B20" s="273" t="s">
        <v>489</v>
      </c>
      <c r="C20" s="319" t="s">
        <v>491</v>
      </c>
      <c r="D20" s="311">
        <f>VLOOKUP('Tier 2 Direct Exposure ALs'!C17,'Table H (Constants)'!A10:R162,16)</f>
        <v>5.6999999999999998E-4</v>
      </c>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row>
    <row r="21" spans="2:97" s="131" customFormat="1" ht="12" customHeight="1" x14ac:dyDescent="0.2">
      <c r="B21" s="273" t="s">
        <v>492</v>
      </c>
      <c r="C21" s="319" t="s">
        <v>494</v>
      </c>
      <c r="D21" s="311">
        <f>VLOOKUP('Tier 2 Direct Exposure ALs'!C17,'Table H (Constants)'!A10:R162,17)</f>
        <v>2.0000000000000002E-5</v>
      </c>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row>
    <row r="22" spans="2:97" s="131" customFormat="1" ht="13.5" customHeight="1" thickBot="1" x14ac:dyDescent="0.25">
      <c r="B22" s="313" t="s">
        <v>493</v>
      </c>
      <c r="C22" s="320" t="s">
        <v>528</v>
      </c>
      <c r="D22" s="314" t="str">
        <f>VLOOKUP('Tier 2 Direct Exposure ALs'!C17,'Table H (Constants)'!A10:R162,18)</f>
        <v xml:space="preserve"> </v>
      </c>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row>
    <row r="23" spans="2:97" s="131" customFormat="1" ht="12" customHeight="1" x14ac:dyDescent="0.2">
      <c r="B23" s="315" t="s">
        <v>485</v>
      </c>
      <c r="C23" s="321"/>
      <c r="D23" s="316"/>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row>
    <row r="24" spans="2:97" s="119" customFormat="1" ht="12" customHeight="1" x14ac:dyDescent="0.2">
      <c r="B24" s="275" t="s">
        <v>476</v>
      </c>
      <c r="C24" s="319" t="s">
        <v>469</v>
      </c>
      <c r="D24" s="311">
        <f>IF(D9=" ","NA",D9*'Tier 2 Direct Exposure ALs'!$D$26)</f>
        <v>783</v>
      </c>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row>
    <row r="25" spans="2:97" s="119" customFormat="1" ht="12" customHeight="1" x14ac:dyDescent="0.2">
      <c r="B25" s="276" t="s">
        <v>465</v>
      </c>
      <c r="C25" s="322" t="s">
        <v>61</v>
      </c>
      <c r="D25" s="311" t="str">
        <f>IF(D7="S","NA",(IF(D6="NV","N/A",((D12/'Tier 2 Direct Exposure ALs'!$D$23)*((D24*'Tier 2 Direct Exposure ALs'!$D$23)+'Soil DE Model Factors'!$G$53+(D14*'Soil DE Model Factors'!$G$52))))))</f>
        <v>NA</v>
      </c>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row>
    <row r="26" spans="2:97" s="119" customFormat="1" ht="12" customHeight="1" x14ac:dyDescent="0.2">
      <c r="B26" s="276" t="s">
        <v>466</v>
      </c>
      <c r="C26" s="323" t="s">
        <v>468</v>
      </c>
      <c r="D26" s="274">
        <f>IF(D6="NV","N/A",68.81)</f>
        <v>68.81</v>
      </c>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row>
    <row r="27" spans="2:97" s="119" customFormat="1" ht="12" customHeight="1" x14ac:dyDescent="0.2">
      <c r="B27" s="277" t="s">
        <v>495</v>
      </c>
      <c r="C27" s="324" t="s">
        <v>470</v>
      </c>
      <c r="D27" s="311">
        <f>IF(D10=" ","NA",(IF(D6="NV","N/A",(((((('Soil DE Model Factors'!$G$52)^(10/3))*D10*D14)+(('Soil DE Model Factors'!$G$53^(10/3))*D11))/('Soil DE Model Factors'!$G$51^2))/(('Tier 2 Direct Exposure ALs'!$D$23*D24)+'Soil DE Model Factors'!$G$53+('Soil DE Model Factors'!$G$52*D14))))))</f>
        <v>1.9643048958577612E-8</v>
      </c>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row>
    <row r="28" spans="2:97" s="119" customFormat="1" ht="12" customHeight="1" x14ac:dyDescent="0.2">
      <c r="B28" s="277" t="s">
        <v>506</v>
      </c>
      <c r="C28" s="324"/>
      <c r="D28" s="311" t="str">
        <f>IF(D18="No","",(((('Soil DE Model Factors'!H27*D20))*10)+((('Soil DE Model Factors'!H28*D20))*3)+((('Soil DE Model Factors'!H29*D20))*3)+((('Soil DE Model Factors'!H30*D20))*1)))</f>
        <v/>
      </c>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row>
    <row r="29" spans="2:97" s="119" customFormat="1" ht="12" customHeight="1" x14ac:dyDescent="0.2">
      <c r="B29" s="278" t="s">
        <v>413</v>
      </c>
      <c r="C29" s="325"/>
      <c r="D29" s="274"/>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row>
    <row r="30" spans="2:97" s="119" customFormat="1" ht="12" customHeight="1" x14ac:dyDescent="0.2">
      <c r="B30" s="277" t="s">
        <v>74</v>
      </c>
      <c r="C30" s="326" t="s">
        <v>79</v>
      </c>
      <c r="D30" s="311">
        <f>IF(D27="NA","NA",(IF(D6="NV","N/A",(D26*(((3.14*D27*(950000000))^0.5)/(2*'Tier 2 Direct Exposure ALs'!$D$23*D27))*0.0001))))</f>
        <v>893824.96437705902</v>
      </c>
      <c r="E30"/>
      <c r="F30"/>
      <c r="G30" s="3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row>
    <row r="31" spans="2:97" s="119" customFormat="1" ht="12" customHeight="1" x14ac:dyDescent="0.2">
      <c r="B31" s="277" t="s">
        <v>467</v>
      </c>
      <c r="C31" s="326" t="s">
        <v>79</v>
      </c>
      <c r="D31" s="311">
        <f>IF(D6="NV","N/A",(D26*(('Soil DE Model Factors'!H23*365*24*60*60)/('Tier 2 Direct Exposure ALs'!D23*'Tier 2 Direct Exposure ALs'!D22*1000000))))</f>
        <v>37.61319744</v>
      </c>
      <c r="E31"/>
      <c r="F31"/>
      <c r="G31" s="329"/>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row>
    <row r="32" spans="2:97" s="119" customFormat="1" ht="12" customHeight="1" x14ac:dyDescent="0.2">
      <c r="B32" s="277" t="s">
        <v>496</v>
      </c>
      <c r="C32" s="326" t="s">
        <v>79</v>
      </c>
      <c r="D32" s="311">
        <f>MAX(D30,D31)</f>
        <v>893824.96437705902</v>
      </c>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row>
    <row r="33" spans="2:97" s="119" customFormat="1" ht="12" customHeight="1" x14ac:dyDescent="0.2">
      <c r="B33" s="277" t="s">
        <v>394</v>
      </c>
      <c r="C33" s="326" t="s">
        <v>79</v>
      </c>
      <c r="D33" s="311">
        <v>1360000000</v>
      </c>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row>
    <row r="34" spans="2:97" s="119" customFormat="1" ht="12" customHeight="1" x14ac:dyDescent="0.2">
      <c r="B34" s="278" t="s">
        <v>44</v>
      </c>
      <c r="C34" s="325"/>
      <c r="D34" s="311"/>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row>
    <row r="35" spans="2:97" s="119" customFormat="1" ht="12" customHeight="1" x14ac:dyDescent="0.2">
      <c r="B35" s="277" t="s">
        <v>74</v>
      </c>
      <c r="C35" s="326" t="s">
        <v>79</v>
      </c>
      <c r="D35" s="311">
        <f>IF(D27="NA","NA",(IF(D6="NV","NA",(D26*(((3.14*D27*(950000000))^0.5)/(2*'Tier 2 Direct Exposure ALs'!$D$23*D27))*0.0001))))</f>
        <v>893824.96437705902</v>
      </c>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row>
    <row r="36" spans="2:97" s="119" customFormat="1" ht="12" customHeight="1" x14ac:dyDescent="0.2">
      <c r="B36" s="277" t="s">
        <v>467</v>
      </c>
      <c r="C36" s="326" t="s">
        <v>79</v>
      </c>
      <c r="D36" s="311">
        <f>IF(D6="NV","N/A",(D26*(('Soil DE Model Factors'!H25*365*24*60*60)/('Tier 2 Direct Exposure ALs'!D23*'Tier 2 Direct Exposure ALs'!D22*1000000))))</f>
        <v>36.166536000000001</v>
      </c>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row>
    <row r="37" spans="2:97" s="119" customFormat="1" ht="12" customHeight="1" x14ac:dyDescent="0.2">
      <c r="B37" s="277" t="s">
        <v>496</v>
      </c>
      <c r="C37" s="326" t="s">
        <v>79</v>
      </c>
      <c r="D37" s="311">
        <f>MAX(D35,D36)</f>
        <v>893824.96437705902</v>
      </c>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row>
    <row r="38" spans="2:97" s="119" customFormat="1" ht="12" customHeight="1" x14ac:dyDescent="0.2">
      <c r="B38" s="277" t="s">
        <v>394</v>
      </c>
      <c r="C38" s="326" t="s">
        <v>79</v>
      </c>
      <c r="D38" s="311">
        <v>1360000000</v>
      </c>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row>
    <row r="39" spans="2:97" s="119" customFormat="1" ht="12" customHeight="1" x14ac:dyDescent="0.2">
      <c r="B39" s="278" t="s">
        <v>261</v>
      </c>
      <c r="C39" s="325"/>
      <c r="D39" s="311"/>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row>
    <row r="40" spans="2:97" s="119" customFormat="1" ht="12" customHeight="1" x14ac:dyDescent="0.2">
      <c r="B40" s="277" t="s">
        <v>74</v>
      </c>
      <c r="C40" s="326" t="s">
        <v>79</v>
      </c>
      <c r="D40" s="311">
        <f>IF(D27="NA","NA",(IF(D6="NV","N/A",(D26*(((3.14*D27*(950000000))^0.5)/(2*'Tier 2 Direct Exposure ALs'!$D$23*D27))*0.0001))))</f>
        <v>893824.96437705902</v>
      </c>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row>
    <row r="41" spans="2:97" s="119" customFormat="1" ht="12" customHeight="1" x14ac:dyDescent="0.2">
      <c r="B41" s="277" t="s">
        <v>467</v>
      </c>
      <c r="C41" s="326" t="s">
        <v>79</v>
      </c>
      <c r="D41" s="311">
        <f>IF(D6="NV","N/A",(D26*(('Soil DE Model Factors'!H26*365*24*60*60)/('Tier 2 Direct Exposure ALs'!D23*'Tier 2 Direct Exposure ALs'!D22*1000000))))</f>
        <v>10.12663008</v>
      </c>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row>
    <row r="42" spans="2:97" s="119" customFormat="1" ht="12" customHeight="1" x14ac:dyDescent="0.2">
      <c r="B42" s="277" t="s">
        <v>496</v>
      </c>
      <c r="C42" s="326" t="s">
        <v>79</v>
      </c>
      <c r="D42" s="311">
        <f>MAX(D40,D41)</f>
        <v>893824.96437705902</v>
      </c>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row>
    <row r="43" spans="2:97" s="119" customFormat="1" ht="12" customHeight="1" thickBot="1" x14ac:dyDescent="0.25">
      <c r="B43" s="279" t="s">
        <v>394</v>
      </c>
      <c r="C43" s="327" t="s">
        <v>79</v>
      </c>
      <c r="D43" s="328">
        <v>1440000</v>
      </c>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row>
    <row r="44" spans="2:97" s="119" customFormat="1" ht="12" customHeight="1" thickTop="1" thickBot="1" x14ac:dyDescent="0.25">
      <c r="B44" s="387"/>
      <c r="C44" s="388"/>
      <c r="D44" s="38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99"/>
      <c r="BR44" s="99"/>
      <c r="BS44" s="99"/>
      <c r="BT44" s="99"/>
      <c r="BU44" s="99"/>
      <c r="BV44" s="99"/>
      <c r="BW44" s="99"/>
      <c r="BX44" s="99"/>
      <c r="BY44" s="99"/>
      <c r="BZ44" s="99"/>
      <c r="CA44" s="99"/>
      <c r="CB44" s="99"/>
      <c r="CC44" s="99"/>
      <c r="CD44" s="99"/>
      <c r="CE44" s="99"/>
      <c r="CF44" s="99"/>
      <c r="CG44" s="99"/>
      <c r="CH44" s="99"/>
      <c r="CI44" s="99"/>
      <c r="CJ44" s="99"/>
      <c r="CK44" s="99"/>
      <c r="CL44" s="99"/>
      <c r="CM44" s="99"/>
      <c r="CN44" s="99"/>
      <c r="CO44" s="99"/>
      <c r="CP44" s="99"/>
      <c r="CQ44" s="99"/>
      <c r="CR44" s="99"/>
      <c r="CS44" s="99"/>
    </row>
    <row r="45" spans="2:97" s="119" customFormat="1" ht="12" customHeight="1" thickTop="1" x14ac:dyDescent="0.2">
      <c r="B45" s="390" t="s">
        <v>5</v>
      </c>
      <c r="C45" s="388"/>
      <c r="D45" s="38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c r="BO45" s="99"/>
      <c r="BP45" s="99"/>
      <c r="BQ45" s="99"/>
      <c r="BR45" s="99"/>
      <c r="BS45" s="99"/>
      <c r="BT45" s="99"/>
      <c r="BU45" s="99"/>
      <c r="BV45" s="99"/>
      <c r="BW45" s="99"/>
      <c r="BX45" s="99"/>
      <c r="BY45" s="99"/>
      <c r="BZ45" s="99"/>
      <c r="CA45" s="99"/>
      <c r="CB45" s="99"/>
      <c r="CC45" s="99"/>
      <c r="CD45" s="99"/>
      <c r="CE45" s="99"/>
      <c r="CF45" s="99"/>
      <c r="CG45" s="99"/>
      <c r="CH45" s="99"/>
      <c r="CI45" s="99"/>
      <c r="CJ45" s="99"/>
      <c r="CK45" s="99"/>
      <c r="CL45" s="99"/>
      <c r="CM45" s="99"/>
      <c r="CN45" s="99"/>
      <c r="CO45" s="99"/>
      <c r="CP45" s="99"/>
      <c r="CQ45" s="99"/>
      <c r="CR45" s="99"/>
      <c r="CS45" s="99"/>
    </row>
    <row r="46" spans="2:97" s="119" customFormat="1" ht="12" customHeight="1" thickBot="1" x14ac:dyDescent="0.25">
      <c r="B46" s="391" t="str">
        <f>'Tier 2 Direct Exposure ALs'!C19</f>
        <v>Unrestricted (Residential) Land Use</v>
      </c>
      <c r="C46" s="388"/>
      <c r="D46" s="38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99"/>
      <c r="BR46" s="99"/>
      <c r="BS46" s="99"/>
      <c r="BT46" s="99"/>
      <c r="BU46" s="99"/>
      <c r="BV46" s="99"/>
      <c r="BW46" s="99"/>
      <c r="BX46" s="99"/>
      <c r="BY46" s="99"/>
      <c r="BZ46" s="99"/>
      <c r="CA46" s="99"/>
      <c r="CB46" s="99"/>
      <c r="CC46" s="99"/>
      <c r="CD46" s="99"/>
      <c r="CE46" s="99"/>
      <c r="CF46" s="99"/>
      <c r="CG46" s="99"/>
      <c r="CH46" s="99"/>
      <c r="CI46" s="99"/>
      <c r="CJ46" s="99"/>
      <c r="CK46" s="99"/>
      <c r="CL46" s="99"/>
      <c r="CM46" s="99"/>
      <c r="CN46" s="99"/>
      <c r="CO46" s="99"/>
      <c r="CP46" s="99"/>
      <c r="CQ46" s="99"/>
      <c r="CR46" s="99"/>
      <c r="CS46" s="99"/>
    </row>
    <row r="47" spans="2:97" s="119" customFormat="1" ht="12" customHeight="1" thickTop="1" thickBot="1" x14ac:dyDescent="0.25">
      <c r="B47" s="387"/>
      <c r="C47" s="388"/>
      <c r="D47" s="38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99"/>
      <c r="BR47" s="99"/>
      <c r="BS47" s="99"/>
      <c r="BT47" s="99"/>
      <c r="BU47" s="99"/>
      <c r="BV47" s="99"/>
      <c r="BW47" s="99"/>
      <c r="BX47" s="99"/>
      <c r="BY47" s="99"/>
      <c r="BZ47" s="99"/>
      <c r="CA47" s="99"/>
      <c r="CB47" s="99"/>
      <c r="CC47" s="99"/>
      <c r="CD47" s="99"/>
      <c r="CE47" s="99"/>
      <c r="CF47" s="99"/>
      <c r="CG47" s="99"/>
      <c r="CH47" s="99"/>
      <c r="CI47" s="99"/>
      <c r="CJ47" s="99"/>
      <c r="CK47" s="99"/>
      <c r="CL47" s="99"/>
      <c r="CM47" s="99"/>
      <c r="CN47" s="99"/>
      <c r="CO47" s="99"/>
      <c r="CP47" s="99"/>
      <c r="CQ47" s="99"/>
      <c r="CR47" s="99"/>
      <c r="CS47" s="99"/>
    </row>
    <row r="48" spans="2:97" s="119" customFormat="1" ht="12" customHeight="1" thickTop="1" thickBot="1" x14ac:dyDescent="0.25">
      <c r="B48" s="392" t="s">
        <v>520</v>
      </c>
      <c r="C48" s="393" t="s">
        <v>143</v>
      </c>
      <c r="D48" s="38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99"/>
      <c r="BR48" s="99"/>
      <c r="BS48" s="99"/>
      <c r="BT48" s="99"/>
      <c r="BU48" s="99"/>
      <c r="BV48" s="99"/>
      <c r="BW48" s="99"/>
      <c r="BX48" s="99"/>
      <c r="BY48" s="99"/>
      <c r="BZ48" s="99"/>
      <c r="CA48" s="99"/>
      <c r="CB48" s="99"/>
      <c r="CC48" s="99"/>
      <c r="CD48" s="99"/>
      <c r="CE48" s="99"/>
      <c r="CF48" s="99"/>
      <c r="CG48" s="99"/>
      <c r="CH48" s="99"/>
      <c r="CI48" s="99"/>
      <c r="CJ48" s="99"/>
      <c r="CK48" s="99"/>
      <c r="CL48" s="99"/>
      <c r="CM48" s="99"/>
      <c r="CN48" s="99"/>
      <c r="CO48" s="99"/>
      <c r="CP48" s="99"/>
      <c r="CQ48" s="99"/>
      <c r="CR48" s="99"/>
      <c r="CS48" s="99"/>
    </row>
    <row r="49" spans="2:97" s="119" customFormat="1" ht="12" customHeight="1" x14ac:dyDescent="0.2">
      <c r="B49" s="376" t="s">
        <v>89</v>
      </c>
      <c r="C49" s="394">
        <f>IF(D66="-","-",IF(IF('Tier 2 Direct Exposure ALs'!C19='Tier 2 Direct Exposure ALs'!I17,D66,D99)&gt;D15,D15,IF('Tier 2 Direct Exposure ALs'!C19='Tier 2 Direct Exposure ALs'!I17,D66,D99)))</f>
        <v>0.22764936813451175</v>
      </c>
      <c r="D49" s="38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99"/>
      <c r="BR49" s="99"/>
      <c r="BS49" s="99"/>
      <c r="BT49" s="99"/>
      <c r="BU49" s="99"/>
      <c r="BV49" s="99"/>
      <c r="BW49" s="99"/>
      <c r="BX49" s="99"/>
      <c r="BY49" s="99"/>
      <c r="BZ49" s="99"/>
      <c r="CA49" s="99"/>
      <c r="CB49" s="99"/>
      <c r="CC49" s="99"/>
      <c r="CD49" s="99"/>
      <c r="CE49" s="99"/>
      <c r="CF49" s="99"/>
      <c r="CG49" s="99"/>
      <c r="CH49" s="99"/>
      <c r="CI49" s="99"/>
      <c r="CJ49" s="99"/>
      <c r="CK49" s="99"/>
      <c r="CL49" s="99"/>
      <c r="CM49" s="99"/>
      <c r="CN49" s="99"/>
      <c r="CO49" s="99"/>
      <c r="CP49" s="99"/>
      <c r="CQ49" s="99"/>
      <c r="CR49" s="99"/>
      <c r="CS49" s="99"/>
    </row>
    <row r="50" spans="2:97" s="119" customFormat="1" ht="12" customHeight="1" x14ac:dyDescent="0.2">
      <c r="B50" s="376" t="s">
        <v>245</v>
      </c>
      <c r="C50" s="394" t="str">
        <f>IF(D76="-","-",IF(IF('Tier 2 Direct Exposure ALs'!C19='Tier 2 Direct Exposure ALs'!I17,D76,"-")&gt;D15,D15,IF('Tier 2 Direct Exposure ALs'!C19='Tier 2 Direct Exposure ALs'!I17,D76,"-")))</f>
        <v>-</v>
      </c>
      <c r="D50" s="38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99"/>
      <c r="BR50" s="99"/>
      <c r="BS50" s="99"/>
      <c r="BT50" s="99"/>
      <c r="BU50" s="99"/>
      <c r="BV50" s="99"/>
      <c r="BW50" s="99"/>
      <c r="BX50" s="99"/>
      <c r="BY50" s="99"/>
      <c r="BZ50" s="99"/>
      <c r="CA50" s="99"/>
      <c r="CB50" s="99"/>
      <c r="CC50" s="99"/>
      <c r="CD50" s="99"/>
      <c r="CE50" s="99"/>
      <c r="CF50" s="99"/>
      <c r="CG50" s="99"/>
      <c r="CH50" s="99"/>
      <c r="CI50" s="99"/>
      <c r="CJ50" s="99"/>
      <c r="CK50" s="99"/>
      <c r="CL50" s="99"/>
      <c r="CM50" s="99"/>
      <c r="CN50" s="99"/>
      <c r="CO50" s="99"/>
      <c r="CP50" s="99"/>
      <c r="CQ50" s="99"/>
      <c r="CR50" s="99"/>
      <c r="CS50" s="99"/>
    </row>
    <row r="51" spans="2:97" s="119" customFormat="1" ht="12" customHeight="1" x14ac:dyDescent="0.2">
      <c r="B51" s="376" t="s">
        <v>521</v>
      </c>
      <c r="C51" s="394">
        <f>IF(D86="-","-",IF(IF('Tier 2 Direct Exposure ALs'!C19='Tier 2 Direct Exposure ALs'!I17,D86,D109)&gt;D15,D15,IF('Tier 2 Direct Exposure ALs'!C19='Tier 2 Direct Exposure ALs'!I17,D86,D109)))</f>
        <v>1.1741947383207836</v>
      </c>
      <c r="D51" s="38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99"/>
      <c r="BR51" s="99"/>
      <c r="BS51" s="99"/>
      <c r="BT51" s="99"/>
      <c r="BU51" s="99"/>
      <c r="BV51" s="99"/>
      <c r="BW51" s="99"/>
      <c r="BX51" s="99"/>
      <c r="BY51" s="99"/>
      <c r="BZ51" s="99"/>
      <c r="CA51" s="99"/>
      <c r="CB51" s="99"/>
      <c r="CC51" s="99"/>
      <c r="CD51" s="99"/>
      <c r="CE51" s="99"/>
      <c r="CF51" s="99"/>
      <c r="CG51" s="99"/>
      <c r="CH51" s="99"/>
      <c r="CI51" s="99"/>
      <c r="CJ51" s="99"/>
      <c r="CK51" s="99"/>
      <c r="CL51" s="99"/>
      <c r="CM51" s="99"/>
      <c r="CN51" s="99"/>
      <c r="CO51" s="99"/>
      <c r="CP51" s="99"/>
      <c r="CQ51" s="99"/>
      <c r="CR51" s="99"/>
      <c r="CS51" s="99"/>
    </row>
    <row r="52" spans="2:97" s="119" customFormat="1" ht="12" customHeight="1" x14ac:dyDescent="0.2">
      <c r="B52" s="398" t="s">
        <v>518</v>
      </c>
      <c r="C52" s="394">
        <f>D133</f>
        <v>6.2323063226747086</v>
      </c>
      <c r="D52" s="38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99"/>
      <c r="BR52" s="99"/>
      <c r="BS52" s="99"/>
      <c r="BT52" s="99"/>
      <c r="BU52" s="99"/>
      <c r="BV52" s="99"/>
      <c r="BW52" s="99"/>
      <c r="BX52" s="99"/>
      <c r="BY52" s="99"/>
      <c r="BZ52" s="99"/>
      <c r="CA52" s="99"/>
      <c r="CB52" s="99"/>
      <c r="CC52" s="99"/>
      <c r="CD52" s="99"/>
      <c r="CE52" s="99"/>
      <c r="CF52" s="99"/>
      <c r="CG52" s="99"/>
      <c r="CH52" s="99"/>
      <c r="CI52" s="99"/>
      <c r="CJ52" s="99"/>
      <c r="CK52" s="99"/>
      <c r="CL52" s="99"/>
      <c r="CM52" s="99"/>
      <c r="CN52" s="99"/>
      <c r="CO52" s="99"/>
      <c r="CP52" s="99"/>
      <c r="CQ52" s="99"/>
      <c r="CR52" s="99"/>
      <c r="CS52" s="99"/>
    </row>
    <row r="53" spans="2:97" s="119" customFormat="1" ht="12" customHeight="1" x14ac:dyDescent="0.2">
      <c r="B53" s="399" t="s">
        <v>522</v>
      </c>
      <c r="C53" s="395" t="str">
        <f>D15</f>
        <v>NA</v>
      </c>
      <c r="D53" s="38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99"/>
      <c r="BR53" s="99"/>
      <c r="BS53" s="99"/>
      <c r="BT53" s="99"/>
      <c r="BU53" s="99"/>
      <c r="BV53" s="99"/>
      <c r="BW53" s="99"/>
      <c r="BX53" s="99"/>
      <c r="BY53" s="99"/>
      <c r="BZ53" s="99"/>
      <c r="CA53" s="99"/>
      <c r="CB53" s="99"/>
      <c r="CC53" s="99"/>
      <c r="CD53" s="99"/>
      <c r="CE53" s="99"/>
      <c r="CF53" s="99"/>
      <c r="CG53" s="99"/>
      <c r="CH53" s="99"/>
      <c r="CI53" s="99"/>
      <c r="CJ53" s="99"/>
      <c r="CK53" s="99"/>
      <c r="CL53" s="99"/>
      <c r="CM53" s="99"/>
      <c r="CN53" s="99"/>
      <c r="CO53" s="99"/>
      <c r="CP53" s="99"/>
      <c r="CQ53" s="99"/>
      <c r="CR53" s="99"/>
      <c r="CS53" s="99"/>
    </row>
    <row r="54" spans="2:97" s="119" customFormat="1" ht="12" customHeight="1" thickBot="1" x14ac:dyDescent="0.25">
      <c r="B54" s="396" t="s">
        <v>519</v>
      </c>
      <c r="C54" s="397">
        <f>IF(AND(C49="-",C50="-",C51="-",C52="-"),"-",MIN(C49:C53))</f>
        <v>0.22764936813451175</v>
      </c>
      <c r="D54" s="411" t="str">
        <f>IF(C54=$D$15,"=Saturation Limit","")</f>
        <v/>
      </c>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99"/>
      <c r="BR54" s="99"/>
      <c r="BS54" s="99"/>
      <c r="BT54" s="99"/>
      <c r="BU54" s="99"/>
      <c r="BV54" s="99"/>
      <c r="BW54" s="99"/>
      <c r="BX54" s="99"/>
      <c r="BY54" s="99"/>
      <c r="BZ54" s="99"/>
      <c r="CA54" s="99"/>
      <c r="CB54" s="99"/>
      <c r="CC54" s="99"/>
      <c r="CD54" s="99"/>
      <c r="CE54" s="99"/>
      <c r="CF54" s="99"/>
      <c r="CG54" s="99"/>
      <c r="CH54" s="99"/>
      <c r="CI54" s="99"/>
      <c r="CJ54" s="99"/>
      <c r="CK54" s="99"/>
      <c r="CL54" s="99"/>
      <c r="CM54" s="99"/>
      <c r="CN54" s="99"/>
      <c r="CO54" s="99"/>
      <c r="CP54" s="99"/>
      <c r="CQ54" s="99"/>
      <c r="CR54" s="99"/>
      <c r="CS54" s="99"/>
    </row>
    <row r="55" spans="2:97" s="119" customFormat="1" ht="12" customHeight="1" thickTop="1" thickBot="1" x14ac:dyDescent="0.25">
      <c r="B55" s="267"/>
      <c r="C55" s="268"/>
      <c r="D55" s="410"/>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row>
    <row r="56" spans="2:97" s="119" customFormat="1" ht="12" customHeight="1" thickTop="1" thickBot="1" x14ac:dyDescent="0.25">
      <c r="B56" s="308" t="s">
        <v>212</v>
      </c>
      <c r="C56" s="309"/>
      <c r="D56" s="310"/>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row>
    <row r="57" spans="2:97" s="119" customFormat="1" ht="12" customHeight="1" x14ac:dyDescent="0.2">
      <c r="B57" s="344" t="s">
        <v>89</v>
      </c>
      <c r="C57" s="345"/>
      <c r="D57" s="372" t="s">
        <v>511</v>
      </c>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row>
    <row r="58" spans="2:97" s="119" customFormat="1" ht="12" customHeight="1" x14ac:dyDescent="0.2">
      <c r="B58" s="265" t="s">
        <v>88</v>
      </c>
      <c r="C58" s="269" t="s">
        <v>61</v>
      </c>
      <c r="D58" s="335">
        <f>IF(D19=" ","-",(('Soil DE Model Factors'!H38*'Soil DE Model Factors'!H37*'Soil DE Model Factors'!H36)/(D19*'Soil DE Model Factors'!H20*'Soil DE Model Factors'!G46*0.000001)))</f>
        <v>0.33618421052631581</v>
      </c>
      <c r="E58" s="329"/>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row>
    <row r="59" spans="2:97" s="119" customFormat="1" ht="12" customHeight="1" x14ac:dyDescent="0.2">
      <c r="B59" s="265" t="s">
        <v>87</v>
      </c>
      <c r="C59" s="269" t="s">
        <v>61</v>
      </c>
      <c r="D59" s="335">
        <f>IF(OR(D19=" ",D17=" "),"-",(('Soil DE Model Factors'!H38*'Soil DE Model Factors'!H37*'Soil DE Model Factors'!H36)/((D19/D16)*'Soil DE Model Factors'!H20*'Soil DE Model Factors'!G47*D17*0.000001)))</f>
        <v>0.83971362314572817</v>
      </c>
      <c r="E59" s="32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row>
    <row r="60" spans="2:97" s="119" customFormat="1" ht="12" customHeight="1" x14ac:dyDescent="0.2">
      <c r="B60" s="266" t="s">
        <v>502</v>
      </c>
      <c r="C60" s="269" t="s">
        <v>61</v>
      </c>
      <c r="D60" s="335">
        <f>IF(OR(D32="NA",D20=" ", D6="NV"),"-",('Soil DE Model Factors'!H38*'Soil DE Model Factors'!H37*'Soil DE Model Factors'!H36)/(D20*1000*'Soil DE Model Factors'!H20*((1/D32)+(1/D33))*'Soil DE Model Factors'!H23*('Soil DE Model Factors'!H32/24)))</f>
        <v>4.3998898241902662</v>
      </c>
      <c r="E60" s="329"/>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row>
    <row r="61" spans="2:97" s="119" customFormat="1" ht="12" customHeight="1" x14ac:dyDescent="0.2">
      <c r="B61" s="266" t="s">
        <v>503</v>
      </c>
      <c r="C61" s="269" t="s">
        <v>61</v>
      </c>
      <c r="D61" s="335">
        <f>IF(D20=" ","-",('Soil DE Model Factors'!H38*'Soil DE Model Factors'!H37*'Soil DE Model Factors'!H36)/(D20*1000*'Soil DE Model Factors'!H20*(1/D33)*'Soil DE Model Factors'!H23*('Soil DE Model Factors'!H32/24)))</f>
        <v>6699.055330634279</v>
      </c>
      <c r="E61" s="329"/>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row>
    <row r="62" spans="2:97" s="119" customFormat="1" ht="12" customHeight="1" x14ac:dyDescent="0.2">
      <c r="B62" s="265" t="s">
        <v>410</v>
      </c>
      <c r="C62" s="269" t="s">
        <v>471</v>
      </c>
      <c r="D62" s="335">
        <f>IF(AND(D58="-",D59="-",D60="-",D61="-"),"",IF(D58="-",0,1/D58))</f>
        <v>2.9745596868884538</v>
      </c>
      <c r="E62" s="329"/>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row>
    <row r="63" spans="2:97" s="119" customFormat="1" ht="12" customHeight="1" x14ac:dyDescent="0.2">
      <c r="B63" s="265" t="s">
        <v>411</v>
      </c>
      <c r="C63" s="269" t="s">
        <v>471</v>
      </c>
      <c r="D63" s="335">
        <f>IF(AND(D58="-",D59="-",D60="-",D61="-"),"",IF(D59="-",0,1/D59))</f>
        <v>1.1908821917808221</v>
      </c>
      <c r="E63" s="329"/>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row>
    <row r="64" spans="2:97" s="119" customFormat="1" ht="12" customHeight="1" x14ac:dyDescent="0.2">
      <c r="B64" s="266" t="s">
        <v>504</v>
      </c>
      <c r="C64" s="269" t="s">
        <v>471</v>
      </c>
      <c r="D64" s="335">
        <f>IF(AND(D58="-",D59="-",D60="-",D61="-"),"",IF(D60="-","-",1/D60))</f>
        <v>0.22727841831449383</v>
      </c>
      <c r="E64" s="329"/>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row>
    <row r="65" spans="2:97" s="119" customFormat="1" ht="12" customHeight="1" x14ac:dyDescent="0.2">
      <c r="B65" s="266" t="s">
        <v>505</v>
      </c>
      <c r="C65" s="269" t="s">
        <v>471</v>
      </c>
      <c r="D65" s="335">
        <f>IF(AND(D58="-",D59="-",D60="-",D61="-"),"",IF(D61="-",0,1/D61))</f>
        <v>1.4927477840451247E-4</v>
      </c>
      <c r="E65" s="329"/>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row>
    <row r="66" spans="2:97" s="119" customFormat="1" ht="12" customHeight="1" thickBot="1" x14ac:dyDescent="0.25">
      <c r="B66" s="284" t="s">
        <v>499</v>
      </c>
      <c r="C66" s="285" t="s">
        <v>61</v>
      </c>
      <c r="D66" s="336">
        <f>IF(AND(D19=" ",D20=" "),"-",IF(D32=0,(1/(D62+D63+D65)),(1/(D62+D63+D64))))</f>
        <v>0.22764936813451175</v>
      </c>
      <c r="E66" s="329"/>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row>
    <row r="67" spans="2:97" s="119" customFormat="1" ht="12" customHeight="1" x14ac:dyDescent="0.2">
      <c r="B67" s="346" t="s">
        <v>245</v>
      </c>
      <c r="C67" s="348"/>
      <c r="D67" s="347"/>
      <c r="E67" s="329"/>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row>
    <row r="68" spans="2:97" s="119" customFormat="1" ht="12" customHeight="1" x14ac:dyDescent="0.2">
      <c r="B68" s="265" t="s">
        <v>88</v>
      </c>
      <c r="C68" s="269" t="s">
        <v>61</v>
      </c>
      <c r="D68" s="335" t="str">
        <f>IF(D18="No","-",IF(D19=" ","-",(('Soil DE Model Factors'!H38*'Soil DE Model Factors'!H37*'Soil DE Model Factors'!H36)/(D19*'Soil DE Model Factors'!H20*'Soil DE Model Factors'!G48*0.000001))))</f>
        <v>-</v>
      </c>
      <c r="E68" s="329"/>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row>
    <row r="69" spans="2:97" s="119" customFormat="1" ht="12" customHeight="1" x14ac:dyDescent="0.2">
      <c r="B69" s="265" t="s">
        <v>87</v>
      </c>
      <c r="C69" s="269" t="s">
        <v>61</v>
      </c>
      <c r="D69" s="335" t="str">
        <f>IF(D18="No","-",(IF(OR(D19=" ",D17=" "),"-",(('Soil DE Model Factors'!H38*'Soil DE Model Factors'!H37*'Soil DE Model Factors'!H36)/((D19/D16)*'Soil DE Model Factors'!H20*'Soil DE Model Factors'!G49*D17*0.000001)))))</f>
        <v>-</v>
      </c>
      <c r="E69" s="32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row>
    <row r="70" spans="2:97" s="119" customFormat="1" ht="12" customHeight="1" x14ac:dyDescent="0.2">
      <c r="B70" s="266" t="s">
        <v>502</v>
      </c>
      <c r="C70" s="269" t="s">
        <v>61</v>
      </c>
      <c r="D70" s="335" t="str">
        <f>IF(D18="No","-",(IF(OR(D30="NA",D20=" ", D6="NV"),"-",('Soil DE Model Factors'!H38*'Soil DE Model Factors'!H37*'Soil DE Model Factors'!H36)/(D20*1000*'Soil DE Model Factors'!H20*((1/D32)+(1/D33))*'Soil DE Model Factors'!H23*('Soil DE Model Factors'!H32/24)))))</f>
        <v>-</v>
      </c>
      <c r="E70" s="329"/>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row>
    <row r="71" spans="2:97" s="119" customFormat="1" ht="12" customHeight="1" x14ac:dyDescent="0.2">
      <c r="B71" s="266" t="s">
        <v>503</v>
      </c>
      <c r="C71" s="269" t="s">
        <v>61</v>
      </c>
      <c r="D71" s="335" t="str">
        <f>IF(D18="No","-",IF(D20=" ","-",(('Soil DE Model Factors'!H38*'Soil DE Model Factors'!H37*'Soil DE Model Factors'!H36)/('Soil DE Model Factors'!H20*'Soil DE Model Factors'!H32*(1/24)*1000*D28*(1/D33)))))</f>
        <v>-</v>
      </c>
      <c r="E71" s="329"/>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row>
    <row r="72" spans="2:97" s="119" customFormat="1" ht="12" customHeight="1" x14ac:dyDescent="0.2">
      <c r="B72" s="265" t="s">
        <v>410</v>
      </c>
      <c r="C72" s="269" t="s">
        <v>471</v>
      </c>
      <c r="D72" s="335" t="str">
        <f>IF(D18="No","-",(IF(D68="-",0,1/D68)))</f>
        <v>-</v>
      </c>
      <c r="E72" s="329"/>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row>
    <row r="73" spans="2:97" s="119" customFormat="1" ht="12" customHeight="1" x14ac:dyDescent="0.2">
      <c r="B73" s="265" t="s">
        <v>411</v>
      </c>
      <c r="C73" s="269" t="s">
        <v>471</v>
      </c>
      <c r="D73" s="335" t="str">
        <f>IF(D18="No","-",(IF(D69="-",0,1/D69)))</f>
        <v>-</v>
      </c>
      <c r="E73" s="329"/>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row>
    <row r="74" spans="2:97" s="119" customFormat="1" ht="12" customHeight="1" x14ac:dyDescent="0.2">
      <c r="B74" s="266" t="s">
        <v>504</v>
      </c>
      <c r="C74" s="269" t="s">
        <v>471</v>
      </c>
      <c r="D74" s="335" t="str">
        <f>IF(D18="No","-",(IF(D70="-",0,1/D70)))</f>
        <v>-</v>
      </c>
      <c r="E74" s="329"/>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row>
    <row r="75" spans="2:97" s="119" customFormat="1" ht="12" customHeight="1" x14ac:dyDescent="0.2">
      <c r="B75" s="266" t="s">
        <v>505</v>
      </c>
      <c r="C75" s="269" t="s">
        <v>471</v>
      </c>
      <c r="D75" s="335" t="str">
        <f>IF(D18="No","-",(IF(D71="-",0,1/D71)))</f>
        <v>-</v>
      </c>
      <c r="E75" s="329"/>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row>
    <row r="76" spans="2:97" s="119" customFormat="1" ht="12" customHeight="1" thickBot="1" x14ac:dyDescent="0.25">
      <c r="B76" s="341" t="s">
        <v>500</v>
      </c>
      <c r="C76" s="342" t="s">
        <v>61</v>
      </c>
      <c r="D76" s="343" t="str">
        <f>IF(D18="No","-",(IF(AND(D20=" ",D19=" "),"",IF(D30="NA",(1/(D72+D73+D75)),(1/(D72+D73+D74))))))</f>
        <v>-</v>
      </c>
      <c r="E76" s="329"/>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row>
    <row r="77" spans="2:97" s="119" customFormat="1" ht="12" customHeight="1" x14ac:dyDescent="0.2">
      <c r="B77" s="349" t="s">
        <v>90</v>
      </c>
      <c r="C77" s="345"/>
      <c r="D77" s="350"/>
      <c r="E77" s="329"/>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row>
    <row r="78" spans="2:97" s="119" customFormat="1" ht="12" customHeight="1" x14ac:dyDescent="0.2">
      <c r="B78" s="265" t="s">
        <v>88</v>
      </c>
      <c r="C78" s="269" t="s">
        <v>61</v>
      </c>
      <c r="D78" s="335">
        <f>IF(D21=" ","-",(('Soil DE Model Factors'!H40*('Soil DE Model Factors'!H37*'Soil DE Model Factors'!H24)*'Soil DE Model Factors'!H35)/('Soil DE Model Factors'!H20*'Soil DE Model Factors'!H24*(1/D21)*'Soil DE Model Factors'!H17*0.000001)))</f>
        <v>1.5642857142857145</v>
      </c>
      <c r="E78" s="329"/>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row>
    <row r="79" spans="2:97" s="119" customFormat="1" ht="12" customHeight="1" x14ac:dyDescent="0.2">
      <c r="B79" s="265" t="s">
        <v>87</v>
      </c>
      <c r="C79" s="269" t="s">
        <v>61</v>
      </c>
      <c r="D79" s="335">
        <f>IF(OR(D21=" ",D17=" "),"-",(('Soil DE Model Factors'!H40*('Soil DE Model Factors'!H37*'Soil DE Model Factors'!H24)*'Soil DE Model Factors'!H35)/('Soil DE Model Factors'!H20*'Soil DE Model Factors'!H24*(1/(D21*D16))*'Soil DE Model Factors'!H6*'Soil DE Model Factors'!H10*D17*0.000001)))</f>
        <v>4.7085838127918676</v>
      </c>
      <c r="E79" s="32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row>
    <row r="80" spans="2:97" s="119" customFormat="1" ht="12" customHeight="1" x14ac:dyDescent="0.2">
      <c r="B80" s="266" t="s">
        <v>502</v>
      </c>
      <c r="C80" s="269" t="s">
        <v>61</v>
      </c>
      <c r="D80" s="335" t="str">
        <f>IF(OR(D30="NA",D22=" ",D6="NV"),"-",('Soil DE Model Factors'!H40*'Soil DE Model Factors'!H37*'Soil DE Model Factors'!H24)/('Soil DE Model Factors'!H20*'Soil DE Model Factors'!H24*('Soil DE Model Factors'!H32/24)*(1/D22)*((1/D32)+(1/D33))))</f>
        <v>-</v>
      </c>
      <c r="E80" s="329"/>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row>
    <row r="81" spans="2:97" s="119" customFormat="1" ht="12" customHeight="1" x14ac:dyDescent="0.2">
      <c r="B81" s="266" t="s">
        <v>503</v>
      </c>
      <c r="C81" s="269" t="s">
        <v>61</v>
      </c>
      <c r="D81" s="335" t="str">
        <f>IF(D22=" ","-",('Soil DE Model Factors'!H40*'Soil DE Model Factors'!H37*'Soil DE Model Factors'!H24)/('Soil DE Model Factors'!H20*'Soil DE Model Factors'!H24*('Soil DE Model Factors'!H32/24)*(1/D22)*(1/D33)))</f>
        <v>-</v>
      </c>
      <c r="E81" s="329"/>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row>
    <row r="82" spans="2:97" s="119" customFormat="1" ht="12" customHeight="1" x14ac:dyDescent="0.2">
      <c r="B82" s="265" t="s">
        <v>410</v>
      </c>
      <c r="C82" s="269" t="s">
        <v>471</v>
      </c>
      <c r="D82" s="335">
        <f>IF(AND(D78="-",D79="-",D80="-",D81="-"),"",(IF(D78="-",0,1/D78)))</f>
        <v>0.63926940639269403</v>
      </c>
      <c r="E82" s="329"/>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row>
    <row r="83" spans="2:97" s="119" customFormat="1" ht="12" customHeight="1" x14ac:dyDescent="0.2">
      <c r="B83" s="265" t="s">
        <v>411</v>
      </c>
      <c r="C83" s="269" t="s">
        <v>471</v>
      </c>
      <c r="D83" s="335">
        <f>IF(AND(D78="-",D79="-",D80="-",D81="-"),"",(IF(D79="-",0,1/D79)))</f>
        <v>0.21237808219178084</v>
      </c>
      <c r="E83" s="329"/>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row>
    <row r="84" spans="2:97" s="119" customFormat="1" ht="12" customHeight="1" x14ac:dyDescent="0.2">
      <c r="B84" s="266" t="s">
        <v>504</v>
      </c>
      <c r="C84" s="269" t="s">
        <v>471</v>
      </c>
      <c r="D84" s="335">
        <f>IF(AND(D78="-",D79="-",D80="-",D81="-"),"",(IF(D80="-",0,1/D80)))</f>
        <v>0</v>
      </c>
      <c r="E84" s="329"/>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row>
    <row r="85" spans="2:97" s="119" customFormat="1" ht="12" customHeight="1" x14ac:dyDescent="0.2">
      <c r="B85" s="266" t="s">
        <v>505</v>
      </c>
      <c r="C85" s="269" t="s">
        <v>471</v>
      </c>
      <c r="D85" s="335">
        <f>IF(AND(D78="-",D79="-",D80="-",D81="-"),"",(IF(D81="-",0,1/D81)))</f>
        <v>0</v>
      </c>
      <c r="E85" s="329"/>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row>
    <row r="86" spans="2:97" s="119" customFormat="1" ht="12" customHeight="1" thickBot="1" x14ac:dyDescent="0.25">
      <c r="B86" s="284" t="s">
        <v>507</v>
      </c>
      <c r="C86" s="285" t="s">
        <v>61</v>
      </c>
      <c r="D86" s="336">
        <f>IF(AND(D21=" ",D22=" "),"-",IF(D30="NA",(1/(D82+D83+D85)),(1/(D82+D83+D84))))</f>
        <v>1.1741947383207836</v>
      </c>
      <c r="E86" s="329"/>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row>
    <row r="87" spans="2:97" customFormat="1" ht="12" customHeight="1" thickBot="1" x14ac:dyDescent="0.25">
      <c r="B87" s="286" t="s">
        <v>501</v>
      </c>
      <c r="C87" s="287" t="s">
        <v>61</v>
      </c>
      <c r="D87" s="337">
        <f>IF(AND(D66="-",D76="-",D86="-"),"-",IF(MIN(D66,D76,D86)&gt;D15,D15,MIN(D66,D76,D86)))</f>
        <v>0.22764936813451175</v>
      </c>
      <c r="E87" t="str">
        <f>IF(D87=$D$15,"=Saturation Limit","")</f>
        <v/>
      </c>
    </row>
    <row r="88" spans="2:97" customFormat="1" ht="12" customHeight="1" thickTop="1" thickBot="1" x14ac:dyDescent="0.25"/>
    <row r="89" spans="2:97" s="119" customFormat="1" ht="12" customHeight="1" thickTop="1" thickBot="1" x14ac:dyDescent="0.25">
      <c r="B89" s="305" t="s">
        <v>213</v>
      </c>
      <c r="C89" s="306"/>
      <c r="D89" s="307"/>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row>
    <row r="90" spans="2:97" s="119" customFormat="1" ht="12" customHeight="1" x14ac:dyDescent="0.2">
      <c r="B90" s="373" t="s">
        <v>89</v>
      </c>
      <c r="C90" s="352"/>
      <c r="D90" s="374" t="s">
        <v>511</v>
      </c>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row>
    <row r="91" spans="2:97" s="119" customFormat="1" ht="12" customHeight="1" x14ac:dyDescent="0.2">
      <c r="B91" s="288" t="s">
        <v>88</v>
      </c>
      <c r="C91" s="289" t="s">
        <v>61</v>
      </c>
      <c r="D91" s="338">
        <f>IF(D19=" ","-",(('Soil DE Model Factors'!H39*'Soil DE Model Factors'!H37*'Soil DE Model Factors'!H36*'Soil DE Model Factors'!H34)/(D19*'Soil DE Model Factors'!H21*'Soil DE Model Factors'!H25*'Soil DE Model Factors'!H18*0.000001)))</f>
        <v>1.4308000000000001</v>
      </c>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row>
    <row r="92" spans="2:97" s="119" customFormat="1" ht="12" customHeight="1" x14ac:dyDescent="0.2">
      <c r="B92" s="288" t="s">
        <v>87</v>
      </c>
      <c r="C92" s="289" t="s">
        <v>61</v>
      </c>
      <c r="D92" s="338">
        <f>IF(OR(D19=" ",D17=" "),"-",(('Soil DE Model Factors'!H39*'Soil DE Model Factors'!H37*'Soil DE Model Factors'!H36*'Soil DE Model Factors'!H34)/((D19/D16)*'Soil DE Model Factors'!H21*'Soil DE Model Factors'!H25*'Soil DE Model Factors'!H7*'Soil DE Model Factors'!H11*D17*0.000001)))</f>
        <v>2.4147056043852184</v>
      </c>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row>
    <row r="93" spans="2:97" s="119" customFormat="1" ht="12" customHeight="1" x14ac:dyDescent="0.2">
      <c r="B93" s="290" t="s">
        <v>502</v>
      </c>
      <c r="C93" s="289" t="s">
        <v>61</v>
      </c>
      <c r="D93" s="338">
        <f>IF(OR(D32="NA",D20=" ", D6="NV"),"-",('Soil DE Model Factors'!H39*'Soil DE Model Factors'!H37*'Soil DE Model Factors'!H36)/(D20*1000*((1/D37)+(1/D38))*'Soil DE Model Factors'!H21*'Soil DE Model Factors'!H25*('Soil DE Model Factors'!H33/24)))</f>
        <v>19.218718752063079</v>
      </c>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row>
    <row r="94" spans="2:97" s="119" customFormat="1" ht="12" customHeight="1" x14ac:dyDescent="0.2">
      <c r="B94" s="290" t="s">
        <v>503</v>
      </c>
      <c r="C94" s="289" t="s">
        <v>61</v>
      </c>
      <c r="D94" s="338">
        <f>IF(D20=" ","-",('Soil DE Model Factors'!H39*'Soil DE Model Factors'!H37*'Soil DE Model Factors'!H36)/(D20*1000*(1/D38)*'Soil DE Model Factors'!H21*'Soil DE Model Factors'!H25*('Soil DE Model Factors'!H33/24)))</f>
        <v>29261.47368421053</v>
      </c>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row>
    <row r="95" spans="2:97" s="119" customFormat="1" ht="12" customHeight="1" x14ac:dyDescent="0.2">
      <c r="B95" s="288" t="s">
        <v>410</v>
      </c>
      <c r="C95" s="289" t="s">
        <v>471</v>
      </c>
      <c r="D95" s="338">
        <f>IF(AND(D91="-",D92="-",D93="-",D94="-"),"",IF(D91="-",0,1/D91))</f>
        <v>0.69890970086664794</v>
      </c>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row>
    <row r="96" spans="2:97" s="119" customFormat="1" ht="12" customHeight="1" x14ac:dyDescent="0.2">
      <c r="B96" s="288" t="s">
        <v>411</v>
      </c>
      <c r="C96" s="289" t="s">
        <v>471</v>
      </c>
      <c r="D96" s="338">
        <f>IF(AND(D91="-",D92="-",D93="-",D94="-"),"",IF(D92="-",0,1/D92))</f>
        <v>0.4141291585127202</v>
      </c>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row>
    <row r="97" spans="2:97" s="119" customFormat="1" ht="12" customHeight="1" x14ac:dyDescent="0.2">
      <c r="B97" s="290" t="s">
        <v>504</v>
      </c>
      <c r="C97" s="289" t="s">
        <v>471</v>
      </c>
      <c r="D97" s="338">
        <f>IF(AND(D91="-",D92="-",D93="-",D94="-"),"",IF(D93="-","-",1/D93))</f>
        <v>5.2032604925479363E-2</v>
      </c>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row>
    <row r="98" spans="2:97" s="119" customFormat="1" ht="12" customHeight="1" x14ac:dyDescent="0.2">
      <c r="B98" s="290" t="s">
        <v>505</v>
      </c>
      <c r="C98" s="289" t="s">
        <v>471</v>
      </c>
      <c r="D98" s="338">
        <f>IF(AND(D91="-",D92="-",D93="-",D94="-"),"",IF(D94="-",0,1/D94))</f>
        <v>3.4174628755611827E-5</v>
      </c>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row>
    <row r="99" spans="2:97" s="119" customFormat="1" ht="12" customHeight="1" thickBot="1" x14ac:dyDescent="0.25">
      <c r="B99" s="294" t="s">
        <v>499</v>
      </c>
      <c r="C99" s="295" t="s">
        <v>61</v>
      </c>
      <c r="D99" s="339">
        <f>IF(AND(D19=" ",D20=" "),"-",IF(D32=0,(1/(D95+D96+D98)),(1/(D95+D96+D97))))</f>
        <v>0.85831644722039513</v>
      </c>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row>
    <row r="100" spans="2:97" s="119" customFormat="1" ht="12" customHeight="1" x14ac:dyDescent="0.2">
      <c r="B100" s="351" t="s">
        <v>90</v>
      </c>
      <c r="C100" s="352"/>
      <c r="D100" s="353"/>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row>
    <row r="101" spans="2:97" s="119" customFormat="1" ht="12" customHeight="1" x14ac:dyDescent="0.2">
      <c r="B101" s="288" t="s">
        <v>88</v>
      </c>
      <c r="C101" s="289" t="s">
        <v>61</v>
      </c>
      <c r="D101" s="338">
        <f>IF(D21=" ","-",(('Soil DE Model Factors'!H40*('Soil DE Model Factors'!H37*'Soil DE Model Factors'!H25)*'Soil DE Model Factors'!H34)/('Soil DE Model Factors'!H21*'Soil DE Model Factors'!H25*(1/D21)*'Soil DE Model Factors'!H18*0.000001)))</f>
        <v>20.440000000000005</v>
      </c>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row>
    <row r="102" spans="2:97" s="119" customFormat="1" ht="12" customHeight="1" x14ac:dyDescent="0.2">
      <c r="B102" s="288" t="s">
        <v>87</v>
      </c>
      <c r="C102" s="289" t="s">
        <v>61</v>
      </c>
      <c r="D102" s="338">
        <f>IF(OR(D21=" ",D17=" "),"-",(('Soil DE Model Factors'!H40*('Soil DE Model Factors'!H37*'Soil DE Model Factors'!H25)*'Soil DE Model Factors'!H34)/('Soil DE Model Factors'!H21*'Soil DE Model Factors'!H25*(1/(D21*D16))*'Soil DE Model Factors'!H7*'Soil DE Model Factors'!H11*D17*0.000001)))</f>
        <v>34.495794348360278</v>
      </c>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row>
    <row r="103" spans="2:97" s="119" customFormat="1" ht="12" customHeight="1" x14ac:dyDescent="0.2">
      <c r="B103" s="290" t="s">
        <v>502</v>
      </c>
      <c r="C103" s="289" t="s">
        <v>61</v>
      </c>
      <c r="D103" s="338" t="str">
        <f>IF(OR(D30="NA",D22=" ", D6="NV"),"-",('Soil DE Model Factors'!H40*'Soil DE Model Factors'!H37*'Soil DE Model Factors'!H25)/('Soil DE Model Factors'!H21*'Soil DE Model Factors'!H25*('Soil DE Model Factors'!H33/24)*(1/D22)*((1/D37)+(1/D38))))</f>
        <v>-</v>
      </c>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row>
    <row r="104" spans="2:97" s="119" customFormat="1" ht="12" customHeight="1" x14ac:dyDescent="0.2">
      <c r="B104" s="290" t="s">
        <v>503</v>
      </c>
      <c r="C104" s="289" t="s">
        <v>61</v>
      </c>
      <c r="D104" s="338" t="str">
        <f>IF(D22=" ","-",('Soil DE Model Factors'!H40*'Soil DE Model Factors'!H37*'Soil DE Model Factors'!H25)/('Soil DE Model Factors'!H21*'Soil DE Model Factors'!H25*('Soil DE Model Factors'!H33/24)*(1/D22)*(1/D38)))</f>
        <v>-</v>
      </c>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row>
    <row r="105" spans="2:97" s="119" customFormat="1" ht="12" customHeight="1" x14ac:dyDescent="0.2">
      <c r="B105" s="288" t="s">
        <v>410</v>
      </c>
      <c r="C105" s="289" t="s">
        <v>471</v>
      </c>
      <c r="D105" s="338">
        <f>IF(AND(D101="-",D102="-",D103="-",D104="-"),"",(IF(D101="-",0,1/D101)))</f>
        <v>4.8923679060665352E-2</v>
      </c>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row>
    <row r="106" spans="2:97" s="119" customFormat="1" ht="12" customHeight="1" x14ac:dyDescent="0.2">
      <c r="B106" s="288" t="s">
        <v>411</v>
      </c>
      <c r="C106" s="289" t="s">
        <v>471</v>
      </c>
      <c r="D106" s="338">
        <f>IF(AND(D101="-",D102="-",D103="-",D104="-"),"",(IF(D102="-",0,1/D102)))</f>
        <v>2.8989041095890403E-2</v>
      </c>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row>
    <row r="107" spans="2:97" s="119" customFormat="1" ht="12" customHeight="1" x14ac:dyDescent="0.2">
      <c r="B107" s="290" t="s">
        <v>504</v>
      </c>
      <c r="C107" s="289" t="s">
        <v>471</v>
      </c>
      <c r="D107" s="338">
        <f>IF(AND(D101="-",D102="-",D103="-",D104="-"),"",(IF(D103="-",0,1/D103)))</f>
        <v>0</v>
      </c>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row>
    <row r="108" spans="2:97" s="119" customFormat="1" ht="12" customHeight="1" x14ac:dyDescent="0.2">
      <c r="B108" s="290" t="s">
        <v>505</v>
      </c>
      <c r="C108" s="289" t="s">
        <v>471</v>
      </c>
      <c r="D108" s="338">
        <f>IF(AND(D101="-",D102="-",D103="-",D104="-"),"",(IF(D104="-",0,1/D104)))</f>
        <v>0</v>
      </c>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row>
    <row r="109" spans="2:97" s="119" customFormat="1" ht="12" customHeight="1" thickBot="1" x14ac:dyDescent="0.25">
      <c r="B109" s="294" t="s">
        <v>507</v>
      </c>
      <c r="C109" s="295" t="s">
        <v>61</v>
      </c>
      <c r="D109" s="339">
        <f>IF(AND(D21=" ",D22=" "),"-",IF(D30="NA",(1/(D105+D106+D108)),(1/(D105+D106+D107))))</f>
        <v>12.834874690430862</v>
      </c>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row>
    <row r="110" spans="2:97" customFormat="1" ht="12" customHeight="1" thickBot="1" x14ac:dyDescent="0.25">
      <c r="B110" s="296" t="s">
        <v>501</v>
      </c>
      <c r="C110" s="297" t="s">
        <v>61</v>
      </c>
      <c r="D110" s="340">
        <f>IF(AND(D99="-",D109="-"),"-",IF(MIN(D99,D109)&gt;D15,D15,MIN(D99,D109)))</f>
        <v>0.85831644722039513</v>
      </c>
      <c r="E110" t="str">
        <f>IF(D110=$D$15,"=Saturation Limit","")</f>
        <v/>
      </c>
    </row>
    <row r="111" spans="2:97" customFormat="1" ht="12" customHeight="1" thickTop="1" thickBot="1" x14ac:dyDescent="0.25"/>
    <row r="112" spans="2:97" s="119" customFormat="1" ht="12" customHeight="1" thickTop="1" thickBot="1" x14ac:dyDescent="0.25">
      <c r="B112" s="302" t="s">
        <v>477</v>
      </c>
      <c r="C112" s="303"/>
      <c r="D112" s="304"/>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row>
    <row r="113" spans="2:97" s="119" customFormat="1" ht="12" customHeight="1" x14ac:dyDescent="0.2">
      <c r="B113" s="356" t="s">
        <v>89</v>
      </c>
      <c r="C113" s="355"/>
      <c r="D113" s="375" t="s">
        <v>511</v>
      </c>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row>
    <row r="114" spans="2:97" s="119" customFormat="1" ht="12" customHeight="1" x14ac:dyDescent="0.2">
      <c r="B114" s="291" t="s">
        <v>88</v>
      </c>
      <c r="C114" s="292" t="s">
        <v>61</v>
      </c>
      <c r="D114" s="357">
        <f>IF(D19=" ","-",(('Soil DE Model Factors'!H39*'Soil DE Model Factors'!H37*'Soil DE Model Factors'!H36*'Soil DE Model Factors'!H34)/(D19*'Soil DE Model Factors'!H22*'Soil DE Model Factors'!H26*'Soil DE Model Factors'!H19*0.000001)))</f>
        <v>11.060606060606062</v>
      </c>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row>
    <row r="115" spans="2:97" s="119" customFormat="1" ht="12" customHeight="1" x14ac:dyDescent="0.2">
      <c r="B115" s="291" t="s">
        <v>87</v>
      </c>
      <c r="C115" s="292" t="s">
        <v>61</v>
      </c>
      <c r="D115" s="357">
        <f>IF(OR(D19=" ",D17=" "),"-",(('Soil DE Model Factors'!H39*'Soil DE Model Factors'!H37*'Soil DE Model Factors'!H36*'Soil DE Model Factors'!H34)/((D19/D16)*'Soil DE Model Factors'!H22*'Soil DE Model Factors'!H26*'Soil DE Model Factors'!H8*'Soil DE Model Factors'!H12*D17*0.000001)))</f>
        <v>14.983579638752051</v>
      </c>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row>
    <row r="116" spans="2:97" s="119" customFormat="1" ht="12" customHeight="1" x14ac:dyDescent="0.2">
      <c r="B116" s="293" t="s">
        <v>502</v>
      </c>
      <c r="C116" s="292" t="s">
        <v>61</v>
      </c>
      <c r="D116" s="357">
        <f>IF(OR(D32="NA",D20=" ", D6="NV"),"-",('Soil DE Model Factors'!H39*'Soil DE Model Factors'!H37*'Soil DE Model Factors'!H36)/(D20*1000*((1/D42)+(1/D43))*'Soil DE Model Factors'!H22*'Soil DE Model Factors'!H26*('Soil DE Model Factors'!H33/24)))</f>
        <v>302.7038261496794</v>
      </c>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row>
    <row r="117" spans="2:97" s="119" customFormat="1" ht="12" customHeight="1" x14ac:dyDescent="0.2">
      <c r="B117" s="293" t="s">
        <v>503</v>
      </c>
      <c r="C117" s="292" t="s">
        <v>61</v>
      </c>
      <c r="D117" s="357">
        <f>IF(D20=" ","-",('Soil DE Model Factors'!H39*'Soil DE Model Factors'!H37*'Soil DE Model Factors'!H36)/(D20*1000*(1/D43)*'Soil DE Model Factors'!H22*'Soil DE Model Factors'!H26*('Soil DE Model Factors'!H33/24)))</f>
        <v>790.37593984962405</v>
      </c>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row>
    <row r="118" spans="2:97" s="119" customFormat="1" ht="12" customHeight="1" x14ac:dyDescent="0.2">
      <c r="B118" s="291" t="s">
        <v>410</v>
      </c>
      <c r="C118" s="292" t="s">
        <v>471</v>
      </c>
      <c r="D118" s="357">
        <f>IF(AND(D114="-",D115="-",D116="-",D117="-"),"",IF(D114="-",0,1/D114))</f>
        <v>9.0410958904109578E-2</v>
      </c>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row>
    <row r="119" spans="2:97" s="119" customFormat="1" ht="12" customHeight="1" x14ac:dyDescent="0.2">
      <c r="B119" s="291" t="s">
        <v>411</v>
      </c>
      <c r="C119" s="292" t="s">
        <v>471</v>
      </c>
      <c r="D119" s="357">
        <f>IF(AND(D114="-",D115="-",D116="-",D117="-"),"",IF(D115="-",0,1/D115))</f>
        <v>6.6739726027397264E-2</v>
      </c>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row>
    <row r="120" spans="2:97" s="119" customFormat="1" ht="12" customHeight="1" x14ac:dyDescent="0.2">
      <c r="B120" s="293" t="s">
        <v>504</v>
      </c>
      <c r="C120" s="292" t="s">
        <v>471</v>
      </c>
      <c r="D120" s="357">
        <f>IF(AND(D114="-",D115="-",D116="-",D117="-"),"",IF(D116="-","-",1/D116))</f>
        <v>3.3035591677837771E-3</v>
      </c>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row>
    <row r="121" spans="2:97" s="119" customFormat="1" ht="12" customHeight="1" x14ac:dyDescent="0.2">
      <c r="B121" s="293" t="s">
        <v>505</v>
      </c>
      <c r="C121" s="292" t="s">
        <v>471</v>
      </c>
      <c r="D121" s="357">
        <f>IF(AND(D114="-",D115="-",D116="-",D117="-"),"",IF(D117="-",0,1/D117))</f>
        <v>1.2652207001522071E-3</v>
      </c>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row>
    <row r="122" spans="2:97" s="119" customFormat="1" ht="12" customHeight="1" thickBot="1" x14ac:dyDescent="0.25">
      <c r="B122" s="298" t="s">
        <v>499</v>
      </c>
      <c r="C122" s="299" t="s">
        <v>61</v>
      </c>
      <c r="D122" s="358">
        <f>IF(AND(D19=" ",D20=" "),"-",IF(D32=0,(1/(D118+D119+D121)),(1/(D118+D119+D120))))</f>
        <v>6.2323063226747086</v>
      </c>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row>
    <row r="123" spans="2:97" s="119" customFormat="1" ht="12" customHeight="1" x14ac:dyDescent="0.2">
      <c r="B123" s="354" t="s">
        <v>90</v>
      </c>
      <c r="C123" s="355"/>
      <c r="D123" s="359"/>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row>
    <row r="124" spans="2:97" s="119" customFormat="1" ht="12" customHeight="1" x14ac:dyDescent="0.2">
      <c r="B124" s="291" t="s">
        <v>88</v>
      </c>
      <c r="C124" s="292" t="s">
        <v>61</v>
      </c>
      <c r="D124" s="357">
        <f>IF(D21=" ","-",(('Soil DE Model Factors'!H40*('Soil DE Model Factors'!H37*'Soil DE Model Factors'!H25)*'Soil DE Model Factors'!H34)/('Soil DE Model Factors'!H22*'Soil DE Model Factors'!H25*(1/D21)*'Soil DE Model Factors'!H19*0.000001)))</f>
        <v>44.242424242424249</v>
      </c>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row>
    <row r="125" spans="2:97" s="119" customFormat="1" ht="12" customHeight="1" x14ac:dyDescent="0.2">
      <c r="B125" s="291" t="s">
        <v>87</v>
      </c>
      <c r="C125" s="292" t="s">
        <v>61</v>
      </c>
      <c r="D125" s="357">
        <f>IF(OR(D21=" ",D17=" "),"-",(('Soil DE Model Factors'!H40*('Soil DE Model Factors'!H37*'Soil DE Model Factors'!H25)*'Soil DE Model Factors'!H34)/('Soil DE Model Factors'!H22*'Soil DE Model Factors'!H25*(1/(D21*D16))*'Soil DE Model Factors'!H8*'Soil DE Model Factors'!H12*D17*0.000001)))</f>
        <v>59.934318555008218</v>
      </c>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row>
    <row r="126" spans="2:97" s="119" customFormat="1" ht="12" customHeight="1" x14ac:dyDescent="0.2">
      <c r="B126" s="293" t="s">
        <v>502</v>
      </c>
      <c r="C126" s="292" t="s">
        <v>61</v>
      </c>
      <c r="D126" s="357" t="str">
        <f>IF(OR(D30="NA",D22=" ",D6="NV"),"-",('Soil DE Model Factors'!H40*'Soil DE Model Factors'!H37*'Soil DE Model Factors'!H25)/('Soil DE Model Factors'!H22*'Soil DE Model Factors'!H25*('Soil DE Model Factors'!H33/24)*(1/D22)*((1/D42)+(1/D43))))</f>
        <v>-</v>
      </c>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row>
    <row r="127" spans="2:97" s="119" customFormat="1" ht="12" customHeight="1" x14ac:dyDescent="0.2">
      <c r="B127" s="293" t="s">
        <v>503</v>
      </c>
      <c r="C127" s="292" t="s">
        <v>61</v>
      </c>
      <c r="D127" s="357" t="str">
        <f>IF(D22=" ","-",('Soil DE Model Factors'!H40*'Soil DE Model Factors'!H37*'Soil DE Model Factors'!H26)/('Soil DE Model Factors'!H22*'Soil DE Model Factors'!H26*('Soil DE Model Factors'!H33/24)*(1/D22)*(1/D43)))</f>
        <v>-</v>
      </c>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row>
    <row r="128" spans="2:97" s="119" customFormat="1" ht="12" customHeight="1" x14ac:dyDescent="0.2">
      <c r="B128" s="291" t="s">
        <v>410</v>
      </c>
      <c r="C128" s="292" t="s">
        <v>471</v>
      </c>
      <c r="D128" s="357">
        <f>IF(AND(D124="-",D125="-",D126="-",D127="-"),"",(IF(D124="-",0,1/D124)))</f>
        <v>2.2602739726027395E-2</v>
      </c>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row>
    <row r="129" spans="2:97" s="119" customFormat="1" ht="12" customHeight="1" x14ac:dyDescent="0.2">
      <c r="B129" s="291" t="s">
        <v>411</v>
      </c>
      <c r="C129" s="292" t="s">
        <v>471</v>
      </c>
      <c r="D129" s="357">
        <f>IF(AND(D124="-",D125="-",D126="-",D127="-"),"",(IF(D125="-",0,1/D125)))</f>
        <v>1.6684931506849313E-2</v>
      </c>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row>
    <row r="130" spans="2:97" s="119" customFormat="1" ht="12" customHeight="1" x14ac:dyDescent="0.2">
      <c r="B130" s="293" t="s">
        <v>504</v>
      </c>
      <c r="C130" s="292" t="s">
        <v>471</v>
      </c>
      <c r="D130" s="357">
        <f>IF(AND(D124="-",D125="-",D126="-",D127="-"),"",(IF(D126="-",0,1/D126)))</f>
        <v>0</v>
      </c>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row>
    <row r="131" spans="2:97" s="119" customFormat="1" ht="12" customHeight="1" x14ac:dyDescent="0.2">
      <c r="B131" s="293" t="s">
        <v>505</v>
      </c>
      <c r="C131" s="292" t="s">
        <v>471</v>
      </c>
      <c r="D131" s="357">
        <f>IF(AND(D124="-",D125="-",D126="-",D127="-"),"",(IF(D127="-",0,1/D127)))</f>
        <v>0</v>
      </c>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row>
    <row r="132" spans="2:97" s="119" customFormat="1" ht="12" customHeight="1" thickBot="1" x14ac:dyDescent="0.25">
      <c r="B132" s="298" t="s">
        <v>507</v>
      </c>
      <c r="C132" s="299" t="s">
        <v>61</v>
      </c>
      <c r="D132" s="358">
        <f>IF(AND(D21=" ",D22=" "),"-",IF(D30="NA",(1/(D128+D129+D131)),(1/(D128+D129+D130))))</f>
        <v>25.453277545327758</v>
      </c>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row>
    <row r="133" spans="2:97" customFormat="1" ht="12" customHeight="1" thickBot="1" x14ac:dyDescent="0.25">
      <c r="B133" s="300" t="s">
        <v>501</v>
      </c>
      <c r="C133" s="301" t="s">
        <v>61</v>
      </c>
      <c r="D133" s="360">
        <f>IF(AND(D99="-",D109="-"),"-",IF(MIN(D122,D132)&gt;D15,D15,MIN(D122,D132)))</f>
        <v>6.2323063226747086</v>
      </c>
      <c r="E133" t="str">
        <f>IF(D133=$D$15,"=Saturation Limit","")</f>
        <v/>
      </c>
    </row>
    <row r="134" spans="2:97" customFormat="1" ht="12" customHeight="1" thickTop="1" x14ac:dyDescent="0.2"/>
    <row r="135" spans="2:97" customFormat="1" ht="12" customHeight="1" x14ac:dyDescent="0.2">
      <c r="B135" s="109" t="s">
        <v>311</v>
      </c>
      <c r="C135" s="108"/>
      <c r="D135" s="24"/>
      <c r="E135" s="24"/>
      <c r="F135" s="24"/>
      <c r="G135" s="24"/>
      <c r="H135" s="24"/>
    </row>
    <row r="136" spans="2:97" customFormat="1" ht="24" customHeight="1" x14ac:dyDescent="0.2">
      <c r="B136" s="500" t="s">
        <v>533</v>
      </c>
      <c r="C136" s="472"/>
      <c r="D136" s="472"/>
      <c r="E136" s="334"/>
      <c r="F136" s="334"/>
      <c r="G136" s="24"/>
      <c r="H136" s="24"/>
    </row>
    <row r="137" spans="2:97" customFormat="1" ht="24.75" customHeight="1" x14ac:dyDescent="0.2">
      <c r="B137" s="500" t="s">
        <v>534</v>
      </c>
      <c r="C137" s="472"/>
      <c r="D137" s="472"/>
      <c r="E137" s="24"/>
      <c r="F137" s="24"/>
      <c r="G137" s="24"/>
      <c r="H137" s="24"/>
    </row>
    <row r="138" spans="2:97" customFormat="1" ht="9" customHeight="1" x14ac:dyDescent="0.2">
      <c r="B138" s="70"/>
      <c r="C138" s="108"/>
      <c r="D138" s="24"/>
      <c r="E138" s="24"/>
      <c r="F138" s="24"/>
      <c r="G138" s="24"/>
      <c r="H138" s="24"/>
    </row>
    <row r="139" spans="2:97" customFormat="1" ht="12" customHeight="1" x14ac:dyDescent="0.2">
      <c r="B139" s="159" t="s">
        <v>184</v>
      </c>
      <c r="C139" s="70"/>
      <c r="D139" s="71"/>
      <c r="E139" s="71"/>
      <c r="F139" s="71"/>
      <c r="G139" s="71"/>
      <c r="H139" s="71"/>
    </row>
    <row r="140" spans="2:97" s="4" customFormat="1" ht="35.25" customHeight="1" x14ac:dyDescent="0.2">
      <c r="B140" s="496" t="s">
        <v>535</v>
      </c>
      <c r="C140" s="472"/>
      <c r="D140" s="472"/>
      <c r="E140" s="71"/>
      <c r="F140" s="71"/>
      <c r="G140" s="71"/>
      <c r="H140" s="71"/>
    </row>
    <row r="141" spans="2:97" customFormat="1" ht="37.5" customHeight="1" x14ac:dyDescent="0.2">
      <c r="B141" s="496" t="s">
        <v>532</v>
      </c>
      <c r="C141" s="472"/>
      <c r="D141" s="472"/>
      <c r="E141" s="334"/>
      <c r="F141" s="334"/>
      <c r="G141" s="334"/>
      <c r="H141" s="334"/>
    </row>
    <row r="142" spans="2:97" customFormat="1" ht="12" customHeight="1" x14ac:dyDescent="0.2">
      <c r="B142" s="334"/>
      <c r="C142" s="334"/>
      <c r="D142" s="334"/>
      <c r="E142" s="334"/>
      <c r="F142" s="334"/>
      <c r="G142" s="334"/>
      <c r="H142" s="334"/>
    </row>
    <row r="143" spans="2:97" customFormat="1" ht="11.25" customHeight="1" x14ac:dyDescent="0.2"/>
    <row r="144" spans="2:97" customFormat="1" ht="11.25" customHeight="1" x14ac:dyDescent="0.2"/>
    <row r="145" customFormat="1" ht="11.25" customHeight="1" x14ac:dyDescent="0.2"/>
    <row r="146" customFormat="1" ht="11.25" customHeight="1" x14ac:dyDescent="0.2"/>
    <row r="147" customFormat="1" ht="11.25" customHeight="1" x14ac:dyDescent="0.2"/>
    <row r="148" customFormat="1" ht="11.25" customHeight="1" x14ac:dyDescent="0.2"/>
    <row r="149" customFormat="1" ht="11.25" customHeight="1" x14ac:dyDescent="0.2"/>
    <row r="150" customFormat="1" ht="11.25" customHeight="1" x14ac:dyDescent="0.2"/>
    <row r="151" customFormat="1" ht="11.25" customHeight="1" x14ac:dyDescent="0.2"/>
    <row r="152" customFormat="1" ht="11.25" customHeight="1" x14ac:dyDescent="0.2"/>
    <row r="153" customFormat="1" ht="11.25" customHeight="1" x14ac:dyDescent="0.2"/>
    <row r="154" customFormat="1" ht="11.25" customHeight="1" x14ac:dyDescent="0.2"/>
    <row r="155" customFormat="1" ht="11.25" customHeight="1" x14ac:dyDescent="0.2"/>
    <row r="156" customFormat="1" ht="11.25" customHeight="1" x14ac:dyDescent="0.2"/>
    <row r="157" customFormat="1" ht="11.25" customHeight="1" x14ac:dyDescent="0.2"/>
    <row r="158" customFormat="1" ht="11.25" customHeight="1" x14ac:dyDescent="0.2"/>
    <row r="159" customFormat="1" ht="11.25" customHeight="1" x14ac:dyDescent="0.2"/>
    <row r="160" customFormat="1" ht="11.25" customHeight="1" x14ac:dyDescent="0.2"/>
    <row r="161" customFormat="1" ht="11.25" customHeight="1" x14ac:dyDescent="0.2"/>
    <row r="162" customFormat="1" ht="11.25" customHeight="1" x14ac:dyDescent="0.2"/>
    <row r="163" customFormat="1" ht="11.25" customHeight="1" x14ac:dyDescent="0.2"/>
    <row r="164" customFormat="1" ht="11.25" customHeight="1" x14ac:dyDescent="0.2"/>
    <row r="165" customFormat="1" ht="11.25" customHeight="1" x14ac:dyDescent="0.2"/>
    <row r="166" customFormat="1" ht="11.25" customHeight="1" x14ac:dyDescent="0.2"/>
    <row r="167" customFormat="1" ht="11.25" customHeight="1" x14ac:dyDescent="0.2"/>
    <row r="168" customFormat="1" ht="11.25" customHeight="1" x14ac:dyDescent="0.2"/>
    <row r="169" customFormat="1" ht="11.25" customHeight="1" x14ac:dyDescent="0.2"/>
    <row r="170" customFormat="1" ht="11.25" customHeight="1" x14ac:dyDescent="0.2"/>
    <row r="171" customFormat="1" ht="11.25" customHeight="1" x14ac:dyDescent="0.2"/>
    <row r="172" customFormat="1" ht="11.25" customHeight="1" x14ac:dyDescent="0.2"/>
    <row r="173" customFormat="1" ht="11.25" customHeight="1" x14ac:dyDescent="0.2"/>
    <row r="174" customFormat="1" ht="11.25" customHeight="1" x14ac:dyDescent="0.2"/>
    <row r="175" customFormat="1" ht="11.25" customHeight="1" x14ac:dyDescent="0.2"/>
    <row r="176" customFormat="1" ht="11.25" customHeight="1" x14ac:dyDescent="0.2"/>
    <row r="177" customFormat="1" ht="11.25" customHeight="1" x14ac:dyDescent="0.2"/>
    <row r="178" customFormat="1" ht="11.25" customHeight="1" x14ac:dyDescent="0.2"/>
    <row r="179" customFormat="1" ht="11.25" customHeight="1" x14ac:dyDescent="0.2"/>
    <row r="180" customFormat="1" ht="11.25" customHeight="1" x14ac:dyDescent="0.2"/>
    <row r="181" customFormat="1" ht="11.25" customHeight="1" x14ac:dyDescent="0.2"/>
    <row r="182" customFormat="1" ht="11.25" customHeight="1" x14ac:dyDescent="0.2"/>
    <row r="183" customFormat="1" ht="11.25" customHeight="1" x14ac:dyDescent="0.2"/>
    <row r="184" customFormat="1" ht="11.25" customHeight="1" x14ac:dyDescent="0.2"/>
    <row r="185" customFormat="1" ht="11.25" customHeight="1" x14ac:dyDescent="0.2"/>
    <row r="186" customFormat="1" ht="11.25" customHeight="1" x14ac:dyDescent="0.2"/>
    <row r="187" customFormat="1" ht="11.25" customHeight="1" x14ac:dyDescent="0.2"/>
    <row r="188" customFormat="1" ht="11.25" customHeight="1" x14ac:dyDescent="0.2"/>
    <row r="189" customFormat="1" ht="11.25" customHeight="1" x14ac:dyDescent="0.2"/>
    <row r="190" customFormat="1" ht="11.25" customHeight="1" x14ac:dyDescent="0.2"/>
    <row r="191" customFormat="1" ht="11.25" customHeight="1" x14ac:dyDescent="0.2"/>
    <row r="192" customFormat="1" ht="11.25" customHeight="1" x14ac:dyDescent="0.2"/>
    <row r="193" customFormat="1" ht="11.25" customHeight="1" x14ac:dyDescent="0.2"/>
    <row r="194" customFormat="1" ht="11.25" customHeight="1" x14ac:dyDescent="0.2"/>
    <row r="195" customFormat="1" ht="11.25" customHeight="1" x14ac:dyDescent="0.2"/>
    <row r="196" customFormat="1" ht="11.25" customHeight="1" x14ac:dyDescent="0.2"/>
    <row r="197" customFormat="1" ht="11.25" customHeight="1" x14ac:dyDescent="0.2"/>
    <row r="198" customFormat="1" ht="11.25" customHeight="1" x14ac:dyDescent="0.2"/>
    <row r="199" customFormat="1" ht="11.25" customHeight="1" x14ac:dyDescent="0.2"/>
    <row r="200" customFormat="1" ht="11.25" customHeight="1" x14ac:dyDescent="0.2"/>
    <row r="201" customFormat="1" ht="11.25" customHeight="1" x14ac:dyDescent="0.2"/>
    <row r="202" customFormat="1" ht="11.25" customHeight="1" x14ac:dyDescent="0.2"/>
    <row r="203" customFormat="1" ht="11.25" customHeight="1" x14ac:dyDescent="0.2"/>
    <row r="204" customFormat="1" ht="11.25" customHeight="1" x14ac:dyDescent="0.2"/>
    <row r="205" customFormat="1" ht="11.25" customHeight="1" x14ac:dyDescent="0.2"/>
    <row r="206" customFormat="1" ht="11.25" customHeight="1" x14ac:dyDescent="0.2"/>
    <row r="207" customFormat="1" ht="11.25" customHeight="1" x14ac:dyDescent="0.2"/>
    <row r="208" customFormat="1" ht="11.25" customHeight="1" x14ac:dyDescent="0.2"/>
    <row r="209" customFormat="1" ht="11.25" customHeight="1" x14ac:dyDescent="0.2"/>
    <row r="210" customFormat="1" ht="11.25" customHeight="1" x14ac:dyDescent="0.2"/>
    <row r="211" customFormat="1" ht="11.25" customHeight="1" x14ac:dyDescent="0.2"/>
    <row r="212" customFormat="1" ht="11.25" customHeight="1" x14ac:dyDescent="0.2"/>
    <row r="213" customFormat="1" ht="11.25" customHeight="1" x14ac:dyDescent="0.2"/>
    <row r="214" customFormat="1" ht="11.25" customHeight="1" x14ac:dyDescent="0.2"/>
    <row r="215" customFormat="1" ht="11.25" customHeight="1" x14ac:dyDescent="0.2"/>
    <row r="216" customFormat="1" ht="11.25" customHeight="1" x14ac:dyDescent="0.2"/>
    <row r="217" customFormat="1" ht="11.25" customHeight="1" x14ac:dyDescent="0.2"/>
    <row r="218" customFormat="1" ht="11.25" customHeight="1" x14ac:dyDescent="0.2"/>
    <row r="219" customFormat="1" ht="11.25" customHeight="1" x14ac:dyDescent="0.2"/>
    <row r="220" customFormat="1" ht="11.25" customHeight="1" x14ac:dyDescent="0.2"/>
    <row r="221" customFormat="1" ht="11.25" customHeight="1" x14ac:dyDescent="0.2"/>
    <row r="222" customFormat="1" ht="11.25" customHeight="1" x14ac:dyDescent="0.2"/>
    <row r="223" customFormat="1" ht="11.25" customHeight="1" x14ac:dyDescent="0.2"/>
    <row r="224" customFormat="1" ht="11.25" customHeight="1" x14ac:dyDescent="0.2"/>
    <row r="225" customFormat="1" ht="11.25" customHeight="1" x14ac:dyDescent="0.2"/>
    <row r="226" customFormat="1" ht="11.25" customHeight="1" x14ac:dyDescent="0.2"/>
    <row r="227" customFormat="1" ht="11.25" customHeight="1" x14ac:dyDescent="0.2"/>
    <row r="228" customFormat="1" ht="11.25" customHeight="1" x14ac:dyDescent="0.2"/>
    <row r="229" customFormat="1" ht="11.25" customHeight="1" x14ac:dyDescent="0.2"/>
    <row r="230" customFormat="1" ht="11.25" customHeight="1" x14ac:dyDescent="0.2"/>
    <row r="231" customFormat="1" ht="11.25" customHeight="1" x14ac:dyDescent="0.2"/>
    <row r="232" customFormat="1" ht="11.25" customHeight="1" x14ac:dyDescent="0.2"/>
    <row r="233" customFormat="1" ht="11.25" customHeight="1" x14ac:dyDescent="0.2"/>
    <row r="234" customFormat="1" ht="11.25" customHeight="1" x14ac:dyDescent="0.2"/>
    <row r="235" customFormat="1" ht="11.25" customHeight="1" x14ac:dyDescent="0.2"/>
    <row r="236" customFormat="1" ht="11.25" customHeight="1" x14ac:dyDescent="0.2"/>
    <row r="237" customFormat="1" ht="11.25" customHeight="1" x14ac:dyDescent="0.2"/>
    <row r="238" customFormat="1" ht="11.25" customHeight="1" x14ac:dyDescent="0.2"/>
    <row r="239" customFormat="1" ht="11.25" customHeight="1" x14ac:dyDescent="0.2"/>
    <row r="240" customFormat="1" ht="11.25" customHeight="1" x14ac:dyDescent="0.2"/>
    <row r="241" customFormat="1" ht="11.25" customHeight="1" x14ac:dyDescent="0.2"/>
    <row r="242" customFormat="1" ht="11.25" customHeight="1" x14ac:dyDescent="0.2"/>
    <row r="243" customFormat="1" ht="11.25" customHeight="1" x14ac:dyDescent="0.2"/>
    <row r="244" customFormat="1" ht="11.25" customHeight="1" x14ac:dyDescent="0.2"/>
    <row r="245" customFormat="1" ht="11.25" customHeight="1" x14ac:dyDescent="0.2"/>
    <row r="246" customFormat="1" ht="11.25" customHeight="1" x14ac:dyDescent="0.2"/>
    <row r="247" customFormat="1" ht="11.25" customHeight="1" x14ac:dyDescent="0.2"/>
    <row r="248" customFormat="1" ht="11.25" customHeight="1" x14ac:dyDescent="0.2"/>
    <row r="249" customFormat="1" ht="11.25" customHeight="1" x14ac:dyDescent="0.2"/>
    <row r="250" customFormat="1" ht="11.25" customHeight="1" x14ac:dyDescent="0.2"/>
    <row r="251" customFormat="1" ht="11.25" customHeight="1" x14ac:dyDescent="0.2"/>
    <row r="252" customFormat="1" ht="11.25" customHeight="1" x14ac:dyDescent="0.2"/>
    <row r="253" customFormat="1" ht="11.25" customHeight="1" x14ac:dyDescent="0.2"/>
    <row r="254" customFormat="1" ht="11.25" customHeight="1" x14ac:dyDescent="0.2"/>
    <row r="255" customFormat="1" ht="11.25" customHeight="1" x14ac:dyDescent="0.2"/>
    <row r="256" customFormat="1" ht="11.25" customHeight="1" x14ac:dyDescent="0.2"/>
    <row r="257" customFormat="1" ht="11.25" customHeight="1" x14ac:dyDescent="0.2"/>
    <row r="258" customFormat="1" ht="11.25" customHeight="1" x14ac:dyDescent="0.2"/>
    <row r="259" customFormat="1" ht="11.25" customHeight="1" x14ac:dyDescent="0.2"/>
    <row r="260" customFormat="1" ht="11.25" customHeight="1" x14ac:dyDescent="0.2"/>
    <row r="261" customFormat="1" ht="11.25" customHeight="1" x14ac:dyDescent="0.2"/>
    <row r="262" customFormat="1" ht="11.25" customHeight="1" x14ac:dyDescent="0.2"/>
    <row r="263" customFormat="1" ht="11.25" customHeight="1" x14ac:dyDescent="0.2"/>
    <row r="264" customFormat="1" ht="11.25" customHeight="1" x14ac:dyDescent="0.2"/>
    <row r="265" customFormat="1" ht="11.25" customHeight="1" x14ac:dyDescent="0.2"/>
    <row r="266" customFormat="1" ht="11.25" customHeight="1" x14ac:dyDescent="0.2"/>
    <row r="267" customFormat="1" ht="11.25" customHeight="1" x14ac:dyDescent="0.2"/>
    <row r="268" customFormat="1" ht="11.25" customHeight="1" x14ac:dyDescent="0.2"/>
    <row r="269" customFormat="1" ht="11.25" customHeight="1" x14ac:dyDescent="0.2"/>
    <row r="270" customFormat="1" ht="11.25" customHeight="1" x14ac:dyDescent="0.2"/>
    <row r="271" customFormat="1" ht="11.25" customHeight="1" x14ac:dyDescent="0.2"/>
    <row r="272" customFormat="1" ht="11.25" customHeight="1" x14ac:dyDescent="0.2"/>
    <row r="273" customFormat="1" ht="11.25" customHeight="1" x14ac:dyDescent="0.2"/>
    <row r="274" customFormat="1" ht="11.25" customHeight="1" x14ac:dyDescent="0.2"/>
    <row r="275" customFormat="1" ht="11.25" customHeight="1" x14ac:dyDescent="0.2"/>
    <row r="276" customFormat="1" ht="11.25" customHeight="1" x14ac:dyDescent="0.2"/>
    <row r="277" customFormat="1" ht="11.25" customHeight="1" x14ac:dyDescent="0.2"/>
    <row r="278" customFormat="1" ht="11.25" customHeight="1" x14ac:dyDescent="0.2"/>
    <row r="279" customFormat="1" ht="11.25" customHeight="1" x14ac:dyDescent="0.2"/>
    <row r="280" customFormat="1" ht="11.25" customHeight="1" x14ac:dyDescent="0.2"/>
    <row r="281" customFormat="1" ht="11.25" customHeight="1" x14ac:dyDescent="0.2"/>
    <row r="282" customFormat="1" ht="11.25" customHeight="1" x14ac:dyDescent="0.2"/>
    <row r="283" customFormat="1" ht="11.25" customHeight="1" x14ac:dyDescent="0.2"/>
    <row r="284" customFormat="1" ht="11.25" customHeight="1" x14ac:dyDescent="0.2"/>
    <row r="285" customFormat="1" ht="11.25" customHeight="1" x14ac:dyDescent="0.2"/>
    <row r="286" customFormat="1" ht="11.25" customHeight="1" x14ac:dyDescent="0.2"/>
    <row r="287" customFormat="1" ht="11.25" customHeight="1" x14ac:dyDescent="0.2"/>
    <row r="288" customFormat="1" ht="12.75" x14ac:dyDescent="0.2"/>
    <row r="289" spans="3:37" customFormat="1" ht="12.75" x14ac:dyDescent="0.2"/>
    <row r="290" spans="3:37" customFormat="1" ht="12.75" x14ac:dyDescent="0.2"/>
    <row r="291" spans="3:37" customFormat="1" ht="12.75" x14ac:dyDescent="0.2"/>
    <row r="292" spans="3:37" s="120" customFormat="1" ht="12.75" x14ac:dyDescent="0.2">
      <c r="C292" s="65"/>
      <c r="D292" s="65"/>
      <c r="E292" s="65"/>
      <c r="F292" s="121"/>
      <c r="G292" s="122"/>
      <c r="H292" s="122"/>
      <c r="I292" s="123"/>
      <c r="J292" s="123"/>
      <c r="K292" s="123"/>
      <c r="L292" s="124"/>
      <c r="M292" s="124"/>
      <c r="N292" s="124"/>
      <c r="O292" s="124"/>
      <c r="P292" s="124"/>
      <c r="Q292" s="124"/>
      <c r="R292" s="124"/>
      <c r="S292" s="124"/>
      <c r="T292" s="124"/>
      <c r="U292" s="124"/>
      <c r="V292" s="124"/>
      <c r="W292" s="124"/>
      <c r="X292" s="124"/>
      <c r="Y292" s="124"/>
      <c r="Z292" s="124"/>
      <c r="AA292" s="123"/>
      <c r="AB292" s="123"/>
      <c r="AC292" s="123"/>
      <c r="AD292" s="123"/>
      <c r="AE292" s="123"/>
      <c r="AF292" s="123"/>
      <c r="AG292" s="123"/>
      <c r="AH292" s="123"/>
      <c r="AI292" s="123"/>
      <c r="AJ292" s="123"/>
      <c r="AK292" s="123"/>
    </row>
    <row r="293" spans="3:37" s="120" customFormat="1" ht="12.75" x14ac:dyDescent="0.2">
      <c r="C293" s="44"/>
      <c r="D293" s="65"/>
      <c r="E293" s="65"/>
      <c r="F293" s="121"/>
      <c r="G293" s="122"/>
      <c r="H293" s="122"/>
      <c r="I293" s="123"/>
      <c r="J293" s="123"/>
      <c r="K293" s="123"/>
      <c r="L293" s="124"/>
      <c r="M293" s="124"/>
      <c r="N293" s="124"/>
      <c r="O293" s="124"/>
      <c r="P293" s="124"/>
      <c r="Q293" s="124"/>
      <c r="R293" s="124"/>
      <c r="S293" s="124"/>
      <c r="T293" s="124"/>
      <c r="U293" s="124"/>
      <c r="V293" s="124"/>
      <c r="W293" s="124"/>
      <c r="X293" s="124"/>
      <c r="Y293" s="124"/>
      <c r="Z293" s="124"/>
      <c r="AA293" s="123"/>
      <c r="AB293" s="123"/>
      <c r="AC293" s="123"/>
      <c r="AD293" s="123"/>
      <c r="AE293" s="123"/>
      <c r="AF293" s="123"/>
      <c r="AG293" s="123"/>
      <c r="AH293" s="123"/>
      <c r="AI293" s="123"/>
      <c r="AJ293" s="123"/>
      <c r="AK293" s="123"/>
    </row>
    <row r="294" spans="3:37" s="120" customFormat="1" ht="12.75" x14ac:dyDescent="0.2">
      <c r="C294" s="44"/>
      <c r="D294" s="44"/>
      <c r="E294" s="44"/>
      <c r="F294" s="121"/>
      <c r="G294" s="122"/>
      <c r="H294" s="122"/>
      <c r="I294" s="123"/>
      <c r="J294" s="123"/>
      <c r="K294" s="123"/>
      <c r="L294" s="124"/>
      <c r="M294" s="124"/>
      <c r="N294" s="124"/>
      <c r="O294" s="124"/>
      <c r="P294" s="124"/>
      <c r="Q294" s="124"/>
      <c r="R294" s="124"/>
      <c r="S294" s="124"/>
      <c r="T294" s="124"/>
      <c r="U294" s="124"/>
      <c r="V294" s="124"/>
      <c r="W294" s="124"/>
      <c r="X294" s="124"/>
      <c r="Y294" s="124"/>
      <c r="Z294" s="124"/>
      <c r="AA294" s="123"/>
      <c r="AB294" s="123"/>
      <c r="AC294" s="123"/>
      <c r="AD294" s="123"/>
      <c r="AE294" s="123"/>
      <c r="AF294" s="123"/>
      <c r="AG294" s="123"/>
      <c r="AH294" s="123"/>
      <c r="AI294" s="123"/>
      <c r="AJ294" s="123"/>
      <c r="AK294" s="123"/>
    </row>
    <row r="295" spans="3:37" s="120" customFormat="1" ht="12.75" x14ac:dyDescent="0.2">
      <c r="C295" s="125"/>
      <c r="D295" s="125"/>
      <c r="E295" s="125"/>
      <c r="F295" s="121"/>
      <c r="G295" s="122"/>
      <c r="H295" s="122"/>
      <c r="I295" s="123"/>
      <c r="J295" s="123"/>
      <c r="K295" s="123"/>
      <c r="L295" s="124"/>
      <c r="M295" s="124"/>
      <c r="N295" s="124"/>
      <c r="O295" s="124"/>
      <c r="P295" s="124"/>
      <c r="Q295" s="124"/>
      <c r="R295" s="124"/>
      <c r="S295" s="124"/>
      <c r="T295" s="124"/>
      <c r="U295" s="124"/>
      <c r="V295" s="124"/>
      <c r="W295" s="124"/>
      <c r="X295" s="124"/>
      <c r="Y295" s="124"/>
      <c r="Z295" s="124"/>
      <c r="AA295" s="123"/>
      <c r="AB295" s="123"/>
      <c r="AC295" s="123"/>
      <c r="AD295" s="123"/>
      <c r="AE295" s="123"/>
      <c r="AF295" s="123"/>
      <c r="AG295" s="123"/>
      <c r="AH295" s="123"/>
      <c r="AI295" s="123"/>
      <c r="AJ295" s="123"/>
      <c r="AK295" s="123"/>
    </row>
    <row r="296" spans="3:37" s="120" customFormat="1" ht="12.75" x14ac:dyDescent="0.2">
      <c r="C296" s="126"/>
      <c r="D296" s="125"/>
      <c r="E296" s="125"/>
      <c r="F296" s="121"/>
      <c r="G296" s="122"/>
      <c r="H296" s="122"/>
      <c r="I296" s="123"/>
      <c r="J296" s="123"/>
      <c r="K296" s="123"/>
      <c r="L296" s="124"/>
      <c r="M296" s="124"/>
      <c r="N296" s="124"/>
      <c r="O296" s="124"/>
      <c r="P296" s="124"/>
      <c r="Q296" s="124"/>
      <c r="R296" s="124"/>
      <c r="S296" s="124"/>
      <c r="T296" s="124"/>
      <c r="U296" s="124"/>
      <c r="V296" s="124"/>
      <c r="W296" s="124"/>
      <c r="X296" s="124"/>
      <c r="Y296" s="124"/>
      <c r="Z296" s="124"/>
      <c r="AA296" s="123"/>
      <c r="AB296" s="123"/>
      <c r="AC296" s="123"/>
      <c r="AD296" s="123"/>
      <c r="AE296" s="123"/>
      <c r="AF296" s="123"/>
      <c r="AG296" s="123"/>
      <c r="AH296" s="123"/>
      <c r="AI296" s="123"/>
      <c r="AJ296" s="123"/>
      <c r="AK296" s="123"/>
    </row>
    <row r="297" spans="3:37" s="120" customFormat="1" ht="12.75" x14ac:dyDescent="0.2">
      <c r="C297" s="126"/>
      <c r="D297" s="126"/>
      <c r="E297" s="126"/>
      <c r="F297" s="121"/>
      <c r="G297" s="122"/>
      <c r="H297" s="122"/>
      <c r="I297" s="123"/>
      <c r="J297" s="123"/>
      <c r="K297" s="123"/>
      <c r="L297" s="124"/>
      <c r="M297" s="124"/>
      <c r="N297" s="124"/>
      <c r="O297" s="124"/>
      <c r="P297" s="124"/>
      <c r="Q297" s="124"/>
      <c r="R297" s="124"/>
      <c r="S297" s="124"/>
      <c r="T297" s="124"/>
      <c r="U297" s="124"/>
      <c r="V297" s="124"/>
      <c r="W297" s="124"/>
      <c r="X297" s="124"/>
      <c r="Y297" s="124"/>
      <c r="Z297" s="124"/>
      <c r="AA297" s="123"/>
      <c r="AB297" s="123"/>
      <c r="AC297" s="123"/>
      <c r="AD297" s="123"/>
      <c r="AE297" s="123"/>
      <c r="AF297" s="123"/>
      <c r="AG297" s="123"/>
      <c r="AH297" s="123"/>
      <c r="AI297" s="123"/>
      <c r="AJ297" s="123"/>
      <c r="AK297" s="123"/>
    </row>
    <row r="298" spans="3:37" s="120" customFormat="1" ht="12.75" x14ac:dyDescent="0.2">
      <c r="C298" s="126"/>
      <c r="D298" s="126"/>
      <c r="E298" s="126"/>
      <c r="F298" s="121"/>
      <c r="G298" s="122"/>
      <c r="H298" s="122"/>
      <c r="I298" s="123"/>
      <c r="J298" s="123"/>
      <c r="K298" s="123"/>
      <c r="L298" s="124"/>
      <c r="M298" s="124"/>
      <c r="N298" s="124"/>
      <c r="O298" s="124"/>
      <c r="P298" s="124"/>
      <c r="Q298" s="124"/>
      <c r="R298" s="124"/>
      <c r="S298" s="124"/>
      <c r="T298" s="124"/>
      <c r="U298" s="124"/>
      <c r="V298" s="124"/>
      <c r="W298" s="124"/>
      <c r="X298" s="124"/>
      <c r="Y298" s="124"/>
      <c r="Z298" s="124"/>
      <c r="AA298" s="123"/>
      <c r="AB298" s="123"/>
      <c r="AC298" s="123"/>
      <c r="AD298" s="123"/>
      <c r="AE298" s="123"/>
      <c r="AF298" s="123"/>
      <c r="AG298" s="123"/>
      <c r="AH298" s="123"/>
      <c r="AI298" s="123"/>
      <c r="AJ298" s="123"/>
      <c r="AK298" s="123"/>
    </row>
    <row r="299" spans="3:37" s="120" customFormat="1" ht="12.75" x14ac:dyDescent="0.2">
      <c r="C299" s="126"/>
      <c r="D299" s="126"/>
      <c r="E299" s="126"/>
      <c r="F299" s="121"/>
      <c r="G299" s="122"/>
      <c r="H299" s="122"/>
      <c r="I299" s="123"/>
      <c r="J299" s="123"/>
      <c r="K299" s="123"/>
      <c r="L299" s="124"/>
      <c r="M299" s="124"/>
      <c r="N299" s="124"/>
      <c r="O299" s="124"/>
      <c r="P299" s="124"/>
      <c r="Q299" s="124"/>
      <c r="R299" s="124"/>
      <c r="S299" s="124"/>
      <c r="T299" s="124"/>
      <c r="U299" s="124"/>
      <c r="V299" s="124"/>
      <c r="W299" s="124"/>
      <c r="X299" s="124"/>
      <c r="Y299" s="124"/>
      <c r="Z299" s="124"/>
      <c r="AA299" s="123"/>
      <c r="AB299" s="123"/>
      <c r="AC299" s="123"/>
      <c r="AD299" s="123"/>
      <c r="AE299" s="123"/>
      <c r="AF299" s="123"/>
      <c r="AG299" s="123"/>
      <c r="AH299" s="123"/>
      <c r="AI299" s="123"/>
      <c r="AJ299" s="123"/>
      <c r="AK299" s="123"/>
    </row>
    <row r="300" spans="3:37" s="120" customFormat="1" ht="12.75" x14ac:dyDescent="0.2">
      <c r="G300" s="122"/>
      <c r="H300" s="122"/>
      <c r="I300" s="123"/>
      <c r="J300" s="123"/>
      <c r="K300" s="123"/>
      <c r="L300" s="124"/>
      <c r="M300" s="124"/>
      <c r="N300" s="124"/>
      <c r="O300" s="124"/>
      <c r="P300" s="124"/>
      <c r="Q300" s="124"/>
      <c r="R300" s="124"/>
      <c r="S300" s="124"/>
      <c r="T300" s="124"/>
      <c r="U300" s="124"/>
      <c r="V300" s="124"/>
      <c r="W300" s="124"/>
      <c r="X300" s="124"/>
      <c r="Y300" s="124"/>
      <c r="Z300" s="124"/>
      <c r="AA300" s="123"/>
      <c r="AB300" s="123"/>
      <c r="AC300" s="123"/>
      <c r="AD300" s="123"/>
      <c r="AE300" s="123"/>
      <c r="AF300" s="123"/>
      <c r="AG300" s="123"/>
      <c r="AH300" s="123"/>
      <c r="AI300" s="123"/>
      <c r="AJ300" s="123"/>
      <c r="AK300" s="123"/>
    </row>
    <row r="301" spans="3:37" s="120" customFormat="1" ht="12.75" x14ac:dyDescent="0.2">
      <c r="F301" s="121"/>
      <c r="G301" s="122"/>
      <c r="H301" s="122"/>
      <c r="I301" s="123"/>
      <c r="J301" s="123"/>
      <c r="K301" s="123"/>
      <c r="L301" s="124"/>
      <c r="M301" s="124"/>
      <c r="N301" s="124"/>
      <c r="O301" s="124"/>
      <c r="P301" s="124"/>
      <c r="Q301" s="124"/>
      <c r="R301" s="124"/>
      <c r="S301" s="124"/>
      <c r="T301" s="124"/>
      <c r="U301" s="124"/>
      <c r="V301" s="124"/>
      <c r="W301" s="124"/>
      <c r="X301" s="124"/>
      <c r="Y301" s="124"/>
      <c r="Z301" s="124"/>
      <c r="AA301" s="123"/>
      <c r="AB301" s="123"/>
      <c r="AC301" s="123"/>
      <c r="AD301" s="123"/>
      <c r="AE301" s="123"/>
      <c r="AF301" s="123"/>
      <c r="AG301" s="123"/>
      <c r="AH301" s="123"/>
      <c r="AI301" s="123"/>
      <c r="AJ301" s="123"/>
      <c r="AK301" s="123"/>
    </row>
    <row r="302" spans="3:37" s="120" customFormat="1" ht="12.75" x14ac:dyDescent="0.2">
      <c r="F302" s="121"/>
      <c r="G302" s="122"/>
      <c r="H302" s="122"/>
      <c r="I302" s="123"/>
      <c r="J302" s="123"/>
      <c r="K302" s="123"/>
      <c r="L302" s="124"/>
      <c r="M302" s="124"/>
      <c r="N302" s="124"/>
      <c r="O302" s="124"/>
      <c r="P302" s="124"/>
      <c r="Q302" s="124"/>
      <c r="R302" s="124"/>
      <c r="S302" s="124"/>
      <c r="T302" s="124"/>
      <c r="U302" s="124"/>
      <c r="V302" s="124"/>
      <c r="W302" s="124"/>
      <c r="X302" s="124"/>
      <c r="Y302" s="124"/>
      <c r="Z302" s="124"/>
      <c r="AA302" s="123"/>
      <c r="AB302" s="123"/>
      <c r="AC302" s="123"/>
      <c r="AD302" s="123"/>
      <c r="AE302" s="123"/>
      <c r="AF302" s="123"/>
      <c r="AG302" s="123"/>
      <c r="AH302" s="123"/>
      <c r="AI302" s="123"/>
      <c r="AJ302" s="123"/>
      <c r="AK302" s="123"/>
    </row>
    <row r="303" spans="3:37" s="120" customFormat="1" ht="12.75" x14ac:dyDescent="0.2">
      <c r="F303" s="121"/>
      <c r="G303" s="122"/>
      <c r="H303" s="122"/>
      <c r="I303" s="123"/>
      <c r="J303" s="123"/>
      <c r="K303" s="123"/>
      <c r="L303" s="124"/>
      <c r="M303" s="124"/>
      <c r="N303" s="124"/>
      <c r="O303" s="124"/>
      <c r="P303" s="124"/>
      <c r="Q303" s="124"/>
      <c r="R303" s="124"/>
      <c r="S303" s="124"/>
      <c r="T303" s="124"/>
      <c r="U303" s="124"/>
      <c r="V303" s="124"/>
      <c r="W303" s="124"/>
      <c r="X303" s="124"/>
      <c r="Y303" s="124"/>
      <c r="Z303" s="124"/>
      <c r="AA303" s="123"/>
      <c r="AB303" s="123"/>
      <c r="AC303" s="123"/>
      <c r="AD303" s="123"/>
      <c r="AE303" s="123"/>
      <c r="AF303" s="123"/>
      <c r="AG303" s="123"/>
      <c r="AH303" s="123"/>
      <c r="AI303" s="123"/>
      <c r="AJ303" s="123"/>
      <c r="AK303" s="123"/>
    </row>
    <row r="304" spans="3:37" s="120" customFormat="1" ht="12.75" x14ac:dyDescent="0.2">
      <c r="F304" s="121"/>
      <c r="G304" s="122"/>
      <c r="H304" s="122"/>
      <c r="I304" s="123"/>
      <c r="J304" s="123"/>
      <c r="K304" s="123"/>
      <c r="L304" s="124"/>
      <c r="M304" s="124"/>
      <c r="N304" s="124"/>
      <c r="O304" s="124"/>
      <c r="P304" s="124"/>
      <c r="Q304" s="124"/>
      <c r="R304" s="124"/>
      <c r="S304" s="124"/>
      <c r="T304" s="124"/>
      <c r="U304" s="124"/>
      <c r="V304" s="124"/>
      <c r="W304" s="124"/>
      <c r="X304" s="124"/>
      <c r="Y304" s="124"/>
      <c r="Z304" s="124"/>
      <c r="AA304" s="123"/>
      <c r="AB304" s="123"/>
      <c r="AC304" s="123"/>
      <c r="AD304" s="123"/>
      <c r="AE304" s="123"/>
      <c r="AF304" s="123"/>
      <c r="AG304" s="123"/>
      <c r="AH304" s="123"/>
      <c r="AI304" s="123"/>
      <c r="AJ304" s="123"/>
      <c r="AK304" s="123"/>
    </row>
    <row r="305" spans="6:37" s="120" customFormat="1" ht="12.75" x14ac:dyDescent="0.2">
      <c r="F305" s="121"/>
      <c r="G305" s="122"/>
      <c r="H305" s="122"/>
      <c r="I305" s="123"/>
      <c r="J305" s="123"/>
      <c r="K305" s="123"/>
      <c r="L305" s="124"/>
      <c r="M305" s="124"/>
      <c r="N305" s="124"/>
      <c r="O305" s="124"/>
      <c r="P305" s="124"/>
      <c r="Q305" s="124"/>
      <c r="R305" s="124"/>
      <c r="S305" s="124"/>
      <c r="T305" s="124"/>
      <c r="U305" s="124"/>
      <c r="V305" s="124"/>
      <c r="W305" s="124"/>
      <c r="X305" s="124"/>
      <c r="Y305" s="124"/>
      <c r="Z305" s="124"/>
      <c r="AA305" s="123"/>
      <c r="AB305" s="123"/>
      <c r="AC305" s="123"/>
      <c r="AD305" s="123"/>
      <c r="AE305" s="123"/>
      <c r="AF305" s="123"/>
      <c r="AG305" s="123"/>
      <c r="AH305" s="123"/>
      <c r="AI305" s="123"/>
      <c r="AJ305" s="123"/>
      <c r="AK305" s="123"/>
    </row>
    <row r="306" spans="6:37" s="120" customFormat="1" ht="12.75" x14ac:dyDescent="0.2">
      <c r="F306" s="121"/>
      <c r="G306" s="122"/>
      <c r="H306" s="122"/>
      <c r="I306" s="123"/>
      <c r="J306" s="123"/>
      <c r="K306" s="123"/>
      <c r="L306" s="124"/>
      <c r="M306" s="124"/>
      <c r="N306" s="124"/>
      <c r="O306" s="124"/>
      <c r="P306" s="124"/>
      <c r="Q306" s="124"/>
      <c r="R306" s="124"/>
      <c r="S306" s="124"/>
      <c r="T306" s="124"/>
      <c r="U306" s="124"/>
      <c r="V306" s="124"/>
      <c r="W306" s="124"/>
      <c r="X306" s="124"/>
      <c r="Y306" s="124"/>
      <c r="Z306" s="124"/>
      <c r="AA306" s="123"/>
      <c r="AB306" s="123"/>
      <c r="AC306" s="123"/>
      <c r="AD306" s="123"/>
      <c r="AE306" s="123"/>
      <c r="AF306" s="123"/>
      <c r="AG306" s="123"/>
      <c r="AH306" s="123"/>
      <c r="AI306" s="123"/>
      <c r="AJ306" s="123"/>
      <c r="AK306" s="123"/>
    </row>
    <row r="307" spans="6:37" s="120" customFormat="1" ht="12.75" x14ac:dyDescent="0.2">
      <c r="F307" s="121"/>
      <c r="G307" s="122"/>
      <c r="H307" s="122"/>
      <c r="I307" s="123"/>
      <c r="J307" s="123"/>
      <c r="K307" s="123"/>
      <c r="L307" s="124"/>
      <c r="M307" s="124"/>
      <c r="N307" s="124"/>
      <c r="O307" s="124"/>
      <c r="P307" s="124"/>
      <c r="Q307" s="124"/>
      <c r="R307" s="124"/>
      <c r="S307" s="124"/>
      <c r="T307" s="124"/>
      <c r="U307" s="124"/>
      <c r="V307" s="124"/>
      <c r="W307" s="124"/>
      <c r="X307" s="124"/>
      <c r="Y307" s="124"/>
      <c r="Z307" s="124"/>
      <c r="AA307" s="123"/>
      <c r="AB307" s="123"/>
      <c r="AC307" s="123"/>
      <c r="AD307" s="123"/>
      <c r="AE307" s="123"/>
      <c r="AF307" s="123"/>
      <c r="AG307" s="123"/>
      <c r="AH307" s="123"/>
      <c r="AI307" s="123"/>
      <c r="AJ307" s="123"/>
      <c r="AK307" s="123"/>
    </row>
    <row r="308" spans="6:37" s="120" customFormat="1" ht="12.75" x14ac:dyDescent="0.2">
      <c r="F308" s="121"/>
      <c r="G308" s="122"/>
      <c r="H308" s="122"/>
      <c r="I308" s="123"/>
      <c r="J308" s="123"/>
      <c r="K308" s="123"/>
      <c r="L308" s="124"/>
      <c r="M308" s="124"/>
      <c r="N308" s="124"/>
      <c r="O308" s="124"/>
      <c r="P308" s="124"/>
      <c r="Q308" s="124"/>
      <c r="R308" s="124"/>
      <c r="S308" s="124"/>
      <c r="T308" s="124"/>
      <c r="U308" s="124"/>
      <c r="V308" s="124"/>
      <c r="W308" s="124"/>
      <c r="X308" s="124"/>
      <c r="Y308" s="124"/>
      <c r="Z308" s="124"/>
      <c r="AA308" s="123"/>
      <c r="AB308" s="123"/>
      <c r="AC308" s="123"/>
      <c r="AD308" s="123"/>
      <c r="AE308" s="123"/>
      <c r="AF308" s="123"/>
      <c r="AG308" s="123"/>
      <c r="AH308" s="123"/>
      <c r="AI308" s="123"/>
      <c r="AJ308" s="123"/>
      <c r="AK308" s="123"/>
    </row>
    <row r="309" spans="6:37" s="120" customFormat="1" ht="12.75" x14ac:dyDescent="0.2">
      <c r="F309" s="121"/>
      <c r="G309" s="122"/>
      <c r="H309" s="122"/>
      <c r="I309" s="123"/>
      <c r="J309" s="123"/>
      <c r="K309" s="123"/>
      <c r="L309" s="124"/>
      <c r="M309" s="124"/>
      <c r="N309" s="124"/>
      <c r="O309" s="124"/>
      <c r="P309" s="124"/>
      <c r="Q309" s="124"/>
      <c r="R309" s="124"/>
      <c r="S309" s="124"/>
      <c r="T309" s="124"/>
      <c r="U309" s="124"/>
      <c r="V309" s="124"/>
      <c r="W309" s="124"/>
      <c r="X309" s="124"/>
      <c r="Y309" s="124"/>
      <c r="Z309" s="124"/>
      <c r="AA309" s="123"/>
      <c r="AB309" s="123"/>
      <c r="AC309" s="123"/>
      <c r="AD309" s="123"/>
      <c r="AE309" s="123"/>
      <c r="AF309" s="123"/>
      <c r="AG309" s="123"/>
      <c r="AH309" s="123"/>
      <c r="AI309" s="123"/>
      <c r="AJ309" s="123"/>
      <c r="AK309" s="123"/>
    </row>
    <row r="310" spans="6:37" s="120" customFormat="1" ht="12.75" x14ac:dyDescent="0.2">
      <c r="F310" s="121"/>
      <c r="G310" s="122"/>
      <c r="H310" s="122"/>
      <c r="I310" s="123"/>
      <c r="J310" s="123"/>
      <c r="K310" s="123"/>
      <c r="L310" s="124"/>
      <c r="M310" s="124"/>
      <c r="N310" s="124"/>
      <c r="O310" s="124"/>
      <c r="P310" s="124"/>
      <c r="Q310" s="124"/>
      <c r="R310" s="124"/>
      <c r="S310" s="124"/>
      <c r="T310" s="124"/>
      <c r="U310" s="124"/>
      <c r="V310" s="124"/>
      <c r="W310" s="124"/>
      <c r="X310" s="124"/>
      <c r="Y310" s="124"/>
      <c r="Z310" s="124"/>
      <c r="AA310" s="123"/>
      <c r="AB310" s="123"/>
      <c r="AC310" s="123"/>
      <c r="AD310" s="123"/>
      <c r="AE310" s="123"/>
      <c r="AF310" s="123"/>
      <c r="AG310" s="123"/>
      <c r="AH310" s="123"/>
      <c r="AI310" s="123"/>
      <c r="AJ310" s="123"/>
      <c r="AK310" s="123"/>
    </row>
    <row r="311" spans="6:37" s="120" customFormat="1" ht="12.75" x14ac:dyDescent="0.2">
      <c r="F311" s="121"/>
      <c r="G311" s="122"/>
      <c r="H311" s="122"/>
      <c r="I311" s="123"/>
      <c r="J311" s="123"/>
      <c r="K311" s="123"/>
      <c r="L311" s="124"/>
      <c r="M311" s="124"/>
      <c r="N311" s="124"/>
      <c r="O311" s="124"/>
      <c r="P311" s="124"/>
      <c r="Q311" s="124"/>
      <c r="R311" s="124"/>
      <c r="S311" s="124"/>
      <c r="T311" s="124"/>
      <c r="U311" s="124"/>
      <c r="V311" s="124"/>
      <c r="W311" s="124"/>
      <c r="X311" s="124"/>
      <c r="Y311" s="124"/>
      <c r="Z311" s="124"/>
      <c r="AA311" s="123"/>
      <c r="AB311" s="123"/>
      <c r="AC311" s="123"/>
      <c r="AD311" s="123"/>
      <c r="AE311" s="123"/>
      <c r="AF311" s="123"/>
      <c r="AG311" s="123"/>
      <c r="AH311" s="123"/>
      <c r="AI311" s="123"/>
      <c r="AJ311" s="123"/>
      <c r="AK311" s="123"/>
    </row>
    <row r="312" spans="6:37" s="120" customFormat="1" ht="12.75" x14ac:dyDescent="0.2">
      <c r="F312" s="121"/>
      <c r="G312" s="122"/>
      <c r="H312" s="122"/>
      <c r="I312" s="123"/>
      <c r="J312" s="123"/>
      <c r="K312" s="123"/>
      <c r="L312" s="124"/>
      <c r="M312" s="124"/>
      <c r="N312" s="124"/>
      <c r="O312" s="124"/>
      <c r="P312" s="124"/>
      <c r="Q312" s="124"/>
      <c r="R312" s="124"/>
      <c r="S312" s="124"/>
      <c r="T312" s="124"/>
      <c r="U312" s="124"/>
      <c r="V312" s="124"/>
      <c r="W312" s="124"/>
      <c r="X312" s="124"/>
      <c r="Y312" s="124"/>
      <c r="Z312" s="124"/>
      <c r="AA312" s="123"/>
      <c r="AB312" s="123"/>
      <c r="AC312" s="123"/>
      <c r="AD312" s="123"/>
      <c r="AE312" s="123"/>
      <c r="AF312" s="123"/>
      <c r="AG312" s="123"/>
      <c r="AH312" s="123"/>
      <c r="AI312" s="123"/>
      <c r="AJ312" s="123"/>
      <c r="AK312" s="123"/>
    </row>
    <row r="313" spans="6:37" s="120" customFormat="1" ht="12.75" x14ac:dyDescent="0.2">
      <c r="F313" s="121"/>
      <c r="G313" s="122"/>
      <c r="H313" s="122"/>
      <c r="I313" s="123"/>
      <c r="J313" s="123"/>
      <c r="K313" s="123"/>
      <c r="L313" s="124"/>
      <c r="M313" s="124"/>
      <c r="N313" s="124"/>
      <c r="O313" s="124"/>
      <c r="P313" s="124"/>
      <c r="Q313" s="124"/>
      <c r="R313" s="124"/>
      <c r="S313" s="124"/>
      <c r="T313" s="124"/>
      <c r="U313" s="124"/>
      <c r="V313" s="124"/>
      <c r="W313" s="124"/>
      <c r="X313" s="124"/>
      <c r="Y313" s="124"/>
      <c r="Z313" s="124"/>
      <c r="AA313" s="123"/>
      <c r="AB313" s="123"/>
      <c r="AC313" s="123"/>
      <c r="AD313" s="123"/>
      <c r="AE313" s="123"/>
      <c r="AF313" s="123"/>
      <c r="AG313" s="123"/>
      <c r="AH313" s="123"/>
      <c r="AI313" s="123"/>
      <c r="AJ313" s="123"/>
      <c r="AK313" s="123"/>
    </row>
    <row r="314" spans="6:37" s="120" customFormat="1" ht="12.75" x14ac:dyDescent="0.2">
      <c r="F314" s="121"/>
      <c r="G314" s="122"/>
      <c r="H314" s="122"/>
      <c r="I314" s="123"/>
      <c r="J314" s="123"/>
      <c r="K314" s="123"/>
      <c r="L314" s="124"/>
      <c r="M314" s="124"/>
      <c r="N314" s="124"/>
      <c r="O314" s="124"/>
      <c r="P314" s="124"/>
      <c r="Q314" s="124"/>
      <c r="R314" s="124"/>
      <c r="S314" s="124"/>
      <c r="T314" s="124"/>
      <c r="U314" s="124"/>
      <c r="V314" s="124"/>
      <c r="W314" s="124"/>
      <c r="X314" s="124"/>
      <c r="Y314" s="124"/>
      <c r="Z314" s="124"/>
      <c r="AA314" s="123"/>
      <c r="AB314" s="123"/>
      <c r="AC314" s="123"/>
      <c r="AD314" s="123"/>
      <c r="AE314" s="123"/>
      <c r="AF314" s="123"/>
      <c r="AG314" s="123"/>
      <c r="AH314" s="123"/>
      <c r="AI314" s="123"/>
      <c r="AJ314" s="123"/>
      <c r="AK314" s="123"/>
    </row>
    <row r="315" spans="6:37" s="120" customFormat="1" ht="12.75" x14ac:dyDescent="0.2">
      <c r="F315" s="121"/>
      <c r="G315" s="122"/>
      <c r="H315" s="122"/>
      <c r="I315" s="123"/>
      <c r="J315" s="123"/>
      <c r="K315" s="123"/>
      <c r="L315" s="124"/>
      <c r="M315" s="124"/>
      <c r="N315" s="124"/>
      <c r="O315" s="124"/>
      <c r="P315" s="124"/>
      <c r="Q315" s="124"/>
      <c r="R315" s="124"/>
      <c r="S315" s="124"/>
      <c r="T315" s="124"/>
      <c r="U315" s="124"/>
      <c r="V315" s="124"/>
      <c r="W315" s="124"/>
      <c r="X315" s="124"/>
      <c r="Y315" s="124"/>
      <c r="Z315" s="124"/>
      <c r="AA315" s="123"/>
      <c r="AB315" s="123"/>
      <c r="AC315" s="123"/>
      <c r="AD315" s="123"/>
      <c r="AE315" s="123"/>
      <c r="AF315" s="123"/>
      <c r="AG315" s="123"/>
      <c r="AH315" s="123"/>
      <c r="AI315" s="123"/>
      <c r="AJ315" s="123"/>
      <c r="AK315" s="123"/>
    </row>
    <row r="316" spans="6:37" s="120" customFormat="1" ht="12.75" x14ac:dyDescent="0.2">
      <c r="F316" s="121"/>
      <c r="G316" s="122"/>
      <c r="H316" s="122"/>
      <c r="I316" s="123"/>
      <c r="J316" s="123"/>
      <c r="K316" s="123"/>
      <c r="L316" s="124"/>
      <c r="M316" s="124"/>
      <c r="N316" s="124"/>
      <c r="O316" s="124"/>
      <c r="P316" s="124"/>
      <c r="Q316" s="124"/>
      <c r="R316" s="124"/>
      <c r="S316" s="124"/>
      <c r="T316" s="124"/>
      <c r="U316" s="124"/>
      <c r="V316" s="124"/>
      <c r="W316" s="124"/>
      <c r="X316" s="124"/>
      <c r="Y316" s="124"/>
      <c r="Z316" s="124"/>
      <c r="AA316" s="123"/>
      <c r="AB316" s="123"/>
      <c r="AC316" s="123"/>
      <c r="AD316" s="123"/>
      <c r="AE316" s="123"/>
      <c r="AF316" s="123"/>
      <c r="AG316" s="123"/>
      <c r="AH316" s="123"/>
      <c r="AI316" s="123"/>
      <c r="AJ316" s="123"/>
      <c r="AK316" s="123"/>
    </row>
    <row r="317" spans="6:37" s="120" customFormat="1" ht="12.75" x14ac:dyDescent="0.2">
      <c r="F317" s="121"/>
      <c r="G317" s="122"/>
      <c r="H317" s="122"/>
      <c r="I317" s="123"/>
      <c r="J317" s="123"/>
      <c r="K317" s="123"/>
      <c r="L317" s="124"/>
      <c r="M317" s="124"/>
      <c r="N317" s="124"/>
      <c r="O317" s="124"/>
      <c r="P317" s="124"/>
      <c r="Q317" s="124"/>
      <c r="R317" s="124"/>
      <c r="S317" s="124"/>
      <c r="T317" s="124"/>
      <c r="U317" s="124"/>
      <c r="V317" s="124"/>
      <c r="W317" s="124"/>
      <c r="X317" s="124"/>
      <c r="Y317" s="124"/>
      <c r="Z317" s="124"/>
      <c r="AA317" s="123"/>
      <c r="AB317" s="123"/>
      <c r="AC317" s="123"/>
      <c r="AD317" s="123"/>
      <c r="AE317" s="123"/>
      <c r="AF317" s="123"/>
      <c r="AG317" s="123"/>
      <c r="AH317" s="123"/>
      <c r="AI317" s="123"/>
      <c r="AJ317" s="123"/>
      <c r="AK317" s="123"/>
    </row>
    <row r="318" spans="6:37" s="120" customFormat="1" ht="12.75" x14ac:dyDescent="0.2">
      <c r="F318" s="121"/>
      <c r="G318" s="122"/>
      <c r="H318" s="122"/>
      <c r="I318" s="123"/>
      <c r="J318" s="123"/>
      <c r="K318" s="123"/>
      <c r="L318" s="124"/>
      <c r="M318" s="124"/>
      <c r="N318" s="124"/>
      <c r="O318" s="124"/>
      <c r="P318" s="124"/>
      <c r="Q318" s="124"/>
      <c r="R318" s="124"/>
      <c r="S318" s="124"/>
      <c r="T318" s="124"/>
      <c r="U318" s="124"/>
      <c r="V318" s="124"/>
      <c r="W318" s="124"/>
      <c r="X318" s="124"/>
      <c r="Y318" s="124"/>
      <c r="Z318" s="124"/>
      <c r="AA318" s="123"/>
      <c r="AB318" s="123"/>
      <c r="AC318" s="123"/>
      <c r="AD318" s="123"/>
      <c r="AE318" s="123"/>
      <c r="AF318" s="123"/>
      <c r="AG318" s="123"/>
      <c r="AH318" s="123"/>
      <c r="AI318" s="123"/>
      <c r="AJ318" s="123"/>
      <c r="AK318" s="123"/>
    </row>
    <row r="319" spans="6:37" s="120" customFormat="1" ht="12.75" x14ac:dyDescent="0.2">
      <c r="F319" s="121"/>
      <c r="G319" s="122"/>
      <c r="H319" s="122"/>
      <c r="I319" s="123"/>
      <c r="J319" s="123"/>
      <c r="K319" s="123"/>
      <c r="L319" s="124"/>
      <c r="M319" s="124"/>
      <c r="N319" s="124"/>
      <c r="O319" s="124"/>
      <c r="P319" s="124"/>
      <c r="Q319" s="124"/>
      <c r="R319" s="124"/>
      <c r="S319" s="124"/>
      <c r="T319" s="124"/>
      <c r="U319" s="124"/>
      <c r="V319" s="124"/>
      <c r="W319" s="124"/>
      <c r="X319" s="124"/>
      <c r="Y319" s="124"/>
      <c r="Z319" s="124"/>
      <c r="AA319" s="123"/>
      <c r="AB319" s="123"/>
      <c r="AC319" s="123"/>
      <c r="AD319" s="123"/>
      <c r="AE319" s="123"/>
      <c r="AF319" s="123"/>
      <c r="AG319" s="123"/>
      <c r="AH319" s="123"/>
      <c r="AI319" s="123"/>
      <c r="AJ319" s="123"/>
      <c r="AK319" s="123"/>
    </row>
    <row r="320" spans="6:37" s="120" customFormat="1" ht="12.75" x14ac:dyDescent="0.2">
      <c r="F320" s="121"/>
      <c r="G320" s="122"/>
      <c r="H320" s="122"/>
      <c r="I320" s="123"/>
      <c r="J320" s="123"/>
      <c r="K320" s="123"/>
      <c r="L320" s="124"/>
      <c r="M320" s="124"/>
      <c r="N320" s="124"/>
      <c r="O320" s="124"/>
      <c r="P320" s="124"/>
      <c r="Q320" s="124"/>
      <c r="R320" s="124"/>
      <c r="S320" s="124"/>
      <c r="T320" s="124"/>
      <c r="U320" s="124"/>
      <c r="V320" s="124"/>
      <c r="W320" s="124"/>
      <c r="X320" s="124"/>
      <c r="Y320" s="124"/>
      <c r="Z320" s="124"/>
      <c r="AA320" s="123"/>
      <c r="AB320" s="123"/>
      <c r="AC320" s="123"/>
      <c r="AD320" s="123"/>
      <c r="AE320" s="123"/>
      <c r="AF320" s="123"/>
      <c r="AG320" s="123"/>
      <c r="AH320" s="123"/>
      <c r="AI320" s="123"/>
      <c r="AJ320" s="123"/>
      <c r="AK320" s="123"/>
    </row>
    <row r="321" spans="6:37" s="120" customFormat="1" ht="12.75" x14ac:dyDescent="0.2">
      <c r="F321" s="121"/>
      <c r="G321" s="122"/>
      <c r="H321" s="122"/>
      <c r="I321" s="123"/>
      <c r="J321" s="123"/>
      <c r="K321" s="123"/>
      <c r="L321" s="124"/>
      <c r="M321" s="124"/>
      <c r="N321" s="124"/>
      <c r="O321" s="124"/>
      <c r="P321" s="124"/>
      <c r="Q321" s="124"/>
      <c r="R321" s="124"/>
      <c r="S321" s="124"/>
      <c r="T321" s="124"/>
      <c r="U321" s="124"/>
      <c r="V321" s="124"/>
      <c r="W321" s="124"/>
      <c r="X321" s="124"/>
      <c r="Y321" s="124"/>
      <c r="Z321" s="124"/>
      <c r="AA321" s="123"/>
      <c r="AB321" s="123"/>
      <c r="AC321" s="123"/>
      <c r="AD321" s="123"/>
      <c r="AE321" s="123"/>
      <c r="AF321" s="123"/>
      <c r="AG321" s="123"/>
      <c r="AH321" s="123"/>
      <c r="AI321" s="123"/>
      <c r="AJ321" s="123"/>
      <c r="AK321" s="123"/>
    </row>
    <row r="322" spans="6:37" s="120" customFormat="1" ht="12.75" x14ac:dyDescent="0.2">
      <c r="F322" s="121"/>
      <c r="G322" s="122"/>
      <c r="H322" s="122"/>
      <c r="I322" s="123"/>
      <c r="J322" s="123"/>
      <c r="K322" s="123"/>
      <c r="L322" s="124"/>
      <c r="M322" s="124"/>
      <c r="N322" s="124"/>
      <c r="O322" s="124"/>
      <c r="P322" s="124"/>
      <c r="Q322" s="124"/>
      <c r="R322" s="124"/>
      <c r="S322" s="124"/>
      <c r="T322" s="124"/>
      <c r="U322" s="124"/>
      <c r="V322" s="124"/>
      <c r="W322" s="124"/>
      <c r="X322" s="124"/>
      <c r="Y322" s="124"/>
      <c r="Z322" s="124"/>
      <c r="AA322" s="123"/>
      <c r="AB322" s="123"/>
      <c r="AC322" s="123"/>
      <c r="AD322" s="123"/>
      <c r="AE322" s="123"/>
      <c r="AF322" s="123"/>
      <c r="AG322" s="123"/>
      <c r="AH322" s="123"/>
      <c r="AI322" s="123"/>
      <c r="AJ322" s="123"/>
      <c r="AK322" s="123"/>
    </row>
    <row r="323" spans="6:37" s="120" customFormat="1" ht="12.75" x14ac:dyDescent="0.2">
      <c r="F323" s="121"/>
      <c r="G323" s="122"/>
      <c r="H323" s="122"/>
      <c r="I323" s="123"/>
      <c r="J323" s="123"/>
      <c r="K323" s="123"/>
      <c r="L323" s="124"/>
      <c r="M323" s="124"/>
      <c r="N323" s="124"/>
      <c r="O323" s="124"/>
      <c r="P323" s="124"/>
      <c r="Q323" s="124"/>
      <c r="R323" s="124"/>
      <c r="S323" s="124"/>
      <c r="T323" s="124"/>
      <c r="U323" s="124"/>
      <c r="V323" s="124"/>
      <c r="W323" s="124"/>
      <c r="X323" s="124"/>
      <c r="Y323" s="124"/>
      <c r="Z323" s="124"/>
      <c r="AA323" s="123"/>
      <c r="AB323" s="123"/>
      <c r="AC323" s="123"/>
      <c r="AD323" s="123"/>
      <c r="AE323" s="123"/>
      <c r="AF323" s="123"/>
      <c r="AG323" s="123"/>
      <c r="AH323" s="123"/>
      <c r="AI323" s="123"/>
      <c r="AJ323" s="123"/>
      <c r="AK323" s="123"/>
    </row>
    <row r="324" spans="6:37" s="120" customFormat="1" ht="12.75" x14ac:dyDescent="0.2">
      <c r="F324" s="121"/>
      <c r="G324" s="122"/>
      <c r="H324" s="122"/>
      <c r="I324" s="123"/>
      <c r="J324" s="123"/>
      <c r="K324" s="123"/>
      <c r="L324" s="124"/>
      <c r="M324" s="124"/>
      <c r="N324" s="124"/>
      <c r="O324" s="124"/>
      <c r="P324" s="124"/>
      <c r="Q324" s="124"/>
      <c r="R324" s="124"/>
      <c r="S324" s="124"/>
      <c r="T324" s="124"/>
      <c r="U324" s="124"/>
      <c r="V324" s="124"/>
      <c r="W324" s="124"/>
      <c r="X324" s="124"/>
      <c r="Y324" s="124"/>
      <c r="Z324" s="124"/>
      <c r="AA324" s="123"/>
      <c r="AB324" s="123"/>
      <c r="AC324" s="123"/>
      <c r="AD324" s="123"/>
      <c r="AE324" s="123"/>
      <c r="AF324" s="123"/>
      <c r="AG324" s="123"/>
      <c r="AH324" s="123"/>
      <c r="AI324" s="123"/>
      <c r="AJ324" s="123"/>
      <c r="AK324" s="123"/>
    </row>
    <row r="325" spans="6:37" s="120" customFormat="1" ht="12.75" x14ac:dyDescent="0.2">
      <c r="F325" s="121"/>
      <c r="G325" s="122"/>
      <c r="H325" s="122"/>
      <c r="I325" s="123"/>
      <c r="J325" s="123"/>
      <c r="K325" s="123"/>
      <c r="L325" s="124"/>
      <c r="M325" s="124"/>
      <c r="N325" s="124"/>
      <c r="O325" s="124"/>
      <c r="P325" s="124"/>
      <c r="Q325" s="124"/>
      <c r="R325" s="124"/>
      <c r="S325" s="124"/>
      <c r="T325" s="124"/>
      <c r="U325" s="124"/>
      <c r="V325" s="124"/>
      <c r="W325" s="124"/>
      <c r="X325" s="124"/>
      <c r="Y325" s="124"/>
      <c r="Z325" s="124"/>
      <c r="AA325" s="123"/>
      <c r="AB325" s="123"/>
      <c r="AC325" s="123"/>
      <c r="AD325" s="123"/>
      <c r="AE325" s="123"/>
      <c r="AF325" s="123"/>
      <c r="AG325" s="123"/>
      <c r="AH325" s="123"/>
      <c r="AI325" s="123"/>
      <c r="AJ325" s="123"/>
      <c r="AK325" s="123"/>
    </row>
    <row r="326" spans="6:37" s="120" customFormat="1" ht="12.75" x14ac:dyDescent="0.2">
      <c r="F326" s="121"/>
      <c r="G326" s="122"/>
      <c r="H326" s="122"/>
      <c r="I326" s="123"/>
      <c r="J326" s="123"/>
      <c r="K326" s="123"/>
      <c r="L326" s="124"/>
      <c r="M326" s="124"/>
      <c r="N326" s="124"/>
      <c r="O326" s="124"/>
      <c r="P326" s="124"/>
      <c r="Q326" s="124"/>
      <c r="R326" s="124"/>
      <c r="S326" s="124"/>
      <c r="T326" s="124"/>
      <c r="U326" s="124"/>
      <c r="V326" s="124"/>
      <c r="W326" s="124"/>
      <c r="X326" s="124"/>
      <c r="Y326" s="124"/>
      <c r="Z326" s="124"/>
      <c r="AA326" s="123"/>
      <c r="AB326" s="123"/>
      <c r="AC326" s="123"/>
      <c r="AD326" s="123"/>
      <c r="AE326" s="123"/>
      <c r="AF326" s="123"/>
      <c r="AG326" s="123"/>
      <c r="AH326" s="123"/>
      <c r="AI326" s="123"/>
      <c r="AJ326" s="123"/>
      <c r="AK326" s="123"/>
    </row>
    <row r="327" spans="6:37" s="120" customFormat="1" ht="12.75" x14ac:dyDescent="0.2">
      <c r="F327" s="121"/>
      <c r="G327" s="122"/>
      <c r="H327" s="122"/>
      <c r="I327" s="123"/>
      <c r="J327" s="123"/>
      <c r="K327" s="123"/>
      <c r="L327" s="124"/>
      <c r="M327" s="124"/>
      <c r="N327" s="124"/>
      <c r="O327" s="124"/>
      <c r="P327" s="124"/>
      <c r="Q327" s="124"/>
      <c r="R327" s="124"/>
      <c r="S327" s="124"/>
      <c r="T327" s="124"/>
      <c r="U327" s="124"/>
      <c r="V327" s="124"/>
      <c r="W327" s="124"/>
      <c r="X327" s="124"/>
      <c r="Y327" s="124"/>
      <c r="Z327" s="124"/>
      <c r="AA327" s="123"/>
      <c r="AB327" s="123"/>
      <c r="AC327" s="123"/>
      <c r="AD327" s="123"/>
      <c r="AE327" s="123"/>
      <c r="AF327" s="123"/>
      <c r="AG327" s="123"/>
      <c r="AH327" s="123"/>
      <c r="AI327" s="123"/>
      <c r="AJ327" s="123"/>
      <c r="AK327" s="123"/>
    </row>
    <row r="328" spans="6:37" s="120" customFormat="1" ht="12.75" x14ac:dyDescent="0.2">
      <c r="F328" s="121"/>
      <c r="G328" s="122"/>
      <c r="H328" s="122"/>
      <c r="I328" s="123"/>
      <c r="J328" s="123"/>
      <c r="K328" s="123"/>
      <c r="L328" s="124"/>
      <c r="M328" s="124"/>
      <c r="N328" s="124"/>
      <c r="O328" s="124"/>
      <c r="P328" s="124"/>
      <c r="Q328" s="124"/>
      <c r="R328" s="124"/>
      <c r="S328" s="124"/>
      <c r="T328" s="124"/>
      <c r="U328" s="124"/>
      <c r="V328" s="124"/>
      <c r="W328" s="124"/>
      <c r="X328" s="124"/>
      <c r="Y328" s="124"/>
      <c r="Z328" s="124"/>
      <c r="AA328" s="123"/>
      <c r="AB328" s="123"/>
      <c r="AC328" s="123"/>
      <c r="AD328" s="123"/>
      <c r="AE328" s="123"/>
      <c r="AF328" s="123"/>
      <c r="AG328" s="123"/>
      <c r="AH328" s="123"/>
      <c r="AI328" s="123"/>
      <c r="AJ328" s="123"/>
      <c r="AK328" s="123"/>
    </row>
    <row r="329" spans="6:37" s="120" customFormat="1" ht="12.75" x14ac:dyDescent="0.2">
      <c r="F329" s="121"/>
      <c r="G329" s="122"/>
      <c r="H329" s="122"/>
      <c r="I329" s="123"/>
      <c r="J329" s="123"/>
      <c r="K329" s="123"/>
      <c r="L329" s="124"/>
      <c r="M329" s="124"/>
      <c r="N329" s="124"/>
      <c r="O329" s="124"/>
      <c r="P329" s="124"/>
      <c r="Q329" s="124"/>
      <c r="R329" s="124"/>
      <c r="S329" s="124"/>
      <c r="T329" s="124"/>
      <c r="U329" s="124"/>
      <c r="V329" s="124"/>
      <c r="W329" s="124"/>
      <c r="X329" s="124"/>
      <c r="Y329" s="124"/>
      <c r="Z329" s="124"/>
      <c r="AA329" s="123"/>
      <c r="AB329" s="123"/>
      <c r="AC329" s="123"/>
      <c r="AD329" s="123"/>
      <c r="AE329" s="123"/>
      <c r="AF329" s="123"/>
      <c r="AG329" s="123"/>
      <c r="AH329" s="123"/>
      <c r="AI329" s="123"/>
      <c r="AJ329" s="123"/>
      <c r="AK329" s="123"/>
    </row>
    <row r="330" spans="6:37" s="120" customFormat="1" ht="12.75" x14ac:dyDescent="0.2">
      <c r="F330" s="121"/>
      <c r="G330" s="122"/>
      <c r="H330" s="122"/>
      <c r="I330" s="123"/>
      <c r="J330" s="123"/>
      <c r="K330" s="123"/>
      <c r="L330" s="124"/>
      <c r="M330" s="124"/>
      <c r="N330" s="124"/>
      <c r="O330" s="124"/>
      <c r="P330" s="124"/>
      <c r="Q330" s="124"/>
      <c r="R330" s="124"/>
      <c r="S330" s="124"/>
      <c r="T330" s="124"/>
      <c r="U330" s="124"/>
      <c r="V330" s="124"/>
      <c r="W330" s="124"/>
      <c r="X330" s="124"/>
      <c r="Y330" s="124"/>
      <c r="Z330" s="124"/>
      <c r="AA330" s="123"/>
      <c r="AB330" s="123"/>
      <c r="AC330" s="123"/>
      <c r="AD330" s="123"/>
      <c r="AE330" s="123"/>
      <c r="AF330" s="123"/>
      <c r="AG330" s="123"/>
      <c r="AH330" s="123"/>
      <c r="AI330" s="123"/>
      <c r="AJ330" s="123"/>
      <c r="AK330" s="123"/>
    </row>
    <row r="331" spans="6:37" s="120" customFormat="1" ht="12.75" x14ac:dyDescent="0.2">
      <c r="F331" s="121"/>
      <c r="G331" s="122"/>
      <c r="H331" s="122"/>
      <c r="I331" s="123"/>
      <c r="J331" s="123"/>
      <c r="K331" s="123"/>
      <c r="L331" s="124"/>
      <c r="M331" s="124"/>
      <c r="N331" s="124"/>
      <c r="O331" s="124"/>
      <c r="P331" s="124"/>
      <c r="Q331" s="124"/>
      <c r="R331" s="124"/>
      <c r="S331" s="124"/>
      <c r="T331" s="124"/>
      <c r="U331" s="124"/>
      <c r="V331" s="124"/>
      <c r="W331" s="124"/>
      <c r="X331" s="124"/>
      <c r="Y331" s="124"/>
      <c r="Z331" s="124"/>
      <c r="AA331" s="123"/>
      <c r="AB331" s="123"/>
      <c r="AC331" s="123"/>
      <c r="AD331" s="123"/>
      <c r="AE331" s="123"/>
      <c r="AF331" s="123"/>
      <c r="AG331" s="123"/>
      <c r="AH331" s="123"/>
      <c r="AI331" s="123"/>
      <c r="AJ331" s="123"/>
      <c r="AK331" s="123"/>
    </row>
    <row r="332" spans="6:37" s="120" customFormat="1" ht="12.75" x14ac:dyDescent="0.2">
      <c r="F332" s="121"/>
      <c r="G332" s="122"/>
      <c r="H332" s="122"/>
      <c r="I332" s="123"/>
      <c r="J332" s="123"/>
      <c r="K332" s="123"/>
      <c r="L332" s="124"/>
      <c r="M332" s="124"/>
      <c r="N332" s="124"/>
      <c r="O332" s="124"/>
      <c r="P332" s="124"/>
      <c r="Q332" s="124"/>
      <c r="R332" s="124"/>
      <c r="S332" s="124"/>
      <c r="T332" s="124"/>
      <c r="U332" s="124"/>
      <c r="V332" s="124"/>
      <c r="W332" s="124"/>
      <c r="X332" s="124"/>
      <c r="Y332" s="124"/>
      <c r="Z332" s="124"/>
      <c r="AA332" s="123"/>
      <c r="AB332" s="123"/>
      <c r="AC332" s="123"/>
      <c r="AD332" s="123"/>
      <c r="AE332" s="123"/>
      <c r="AF332" s="123"/>
      <c r="AG332" s="123"/>
      <c r="AH332" s="123"/>
      <c r="AI332" s="123"/>
      <c r="AJ332" s="123"/>
      <c r="AK332" s="123"/>
    </row>
    <row r="333" spans="6:37" s="120" customFormat="1" ht="12.75" x14ac:dyDescent="0.2">
      <c r="F333" s="121"/>
      <c r="G333" s="122"/>
      <c r="H333" s="122"/>
      <c r="I333" s="123"/>
      <c r="J333" s="123"/>
      <c r="K333" s="123"/>
      <c r="L333" s="124"/>
      <c r="M333" s="124"/>
      <c r="N333" s="124"/>
      <c r="O333" s="124"/>
      <c r="P333" s="124"/>
      <c r="Q333" s="124"/>
      <c r="R333" s="124"/>
      <c r="S333" s="124"/>
      <c r="T333" s="124"/>
      <c r="U333" s="124"/>
      <c r="V333" s="124"/>
      <c r="W333" s="124"/>
      <c r="X333" s="124"/>
      <c r="Y333" s="124"/>
      <c r="Z333" s="124"/>
      <c r="AA333" s="123"/>
      <c r="AB333" s="123"/>
      <c r="AC333" s="123"/>
      <c r="AD333" s="123"/>
      <c r="AE333" s="123"/>
      <c r="AF333" s="123"/>
      <c r="AG333" s="123"/>
      <c r="AH333" s="123"/>
      <c r="AI333" s="123"/>
      <c r="AJ333" s="123"/>
      <c r="AK333" s="123"/>
    </row>
    <row r="334" spans="6:37" s="120" customFormat="1" ht="12.75" x14ac:dyDescent="0.2">
      <c r="F334" s="121"/>
      <c r="G334" s="122"/>
      <c r="H334" s="122"/>
      <c r="I334" s="123"/>
      <c r="J334" s="123"/>
      <c r="K334" s="123"/>
      <c r="L334" s="124"/>
      <c r="M334" s="124"/>
      <c r="N334" s="124"/>
      <c r="O334" s="124"/>
      <c r="P334" s="124"/>
      <c r="Q334" s="124"/>
      <c r="R334" s="124"/>
      <c r="S334" s="124"/>
      <c r="T334" s="124"/>
      <c r="U334" s="124"/>
      <c r="V334" s="124"/>
      <c r="W334" s="124"/>
      <c r="X334" s="124"/>
      <c r="Y334" s="124"/>
      <c r="Z334" s="124"/>
      <c r="AA334" s="123"/>
      <c r="AB334" s="123"/>
      <c r="AC334" s="123"/>
      <c r="AD334" s="123"/>
      <c r="AE334" s="123"/>
      <c r="AF334" s="123"/>
      <c r="AG334" s="123"/>
      <c r="AH334" s="123"/>
      <c r="AI334" s="123"/>
      <c r="AJ334" s="123"/>
      <c r="AK334" s="123"/>
    </row>
    <row r="335" spans="6:37" s="120" customFormat="1" ht="12.75" x14ac:dyDescent="0.2">
      <c r="F335" s="121"/>
      <c r="G335" s="122"/>
      <c r="H335" s="122"/>
      <c r="I335" s="123"/>
      <c r="J335" s="123"/>
      <c r="K335" s="123"/>
      <c r="L335" s="124"/>
      <c r="M335" s="124"/>
      <c r="N335" s="124"/>
      <c r="O335" s="124"/>
      <c r="P335" s="124"/>
      <c r="Q335" s="124"/>
      <c r="R335" s="124"/>
      <c r="S335" s="124"/>
      <c r="T335" s="124"/>
      <c r="U335" s="124"/>
      <c r="V335" s="124"/>
      <c r="W335" s="124"/>
      <c r="X335" s="124"/>
      <c r="Y335" s="124"/>
      <c r="Z335" s="124"/>
      <c r="AA335" s="123"/>
      <c r="AB335" s="123"/>
      <c r="AC335" s="123"/>
      <c r="AD335" s="123"/>
      <c r="AE335" s="123"/>
      <c r="AF335" s="123"/>
      <c r="AG335" s="123"/>
      <c r="AH335" s="123"/>
      <c r="AI335" s="123"/>
      <c r="AJ335" s="123"/>
      <c r="AK335" s="123"/>
    </row>
    <row r="336" spans="6:37" s="120" customFormat="1" ht="12.75" x14ac:dyDescent="0.2">
      <c r="F336" s="121"/>
      <c r="G336" s="122"/>
      <c r="H336" s="122"/>
      <c r="I336" s="123"/>
      <c r="J336" s="123"/>
      <c r="K336" s="123"/>
      <c r="L336" s="124"/>
      <c r="M336" s="124"/>
      <c r="N336" s="124"/>
      <c r="O336" s="124"/>
      <c r="P336" s="124"/>
      <c r="Q336" s="124"/>
      <c r="R336" s="124"/>
      <c r="S336" s="124"/>
      <c r="T336" s="124"/>
      <c r="U336" s="124"/>
      <c r="V336" s="124"/>
      <c r="W336" s="124"/>
      <c r="X336" s="124"/>
      <c r="Y336" s="124"/>
      <c r="Z336" s="124"/>
      <c r="AA336" s="123"/>
      <c r="AB336" s="123"/>
      <c r="AC336" s="123"/>
      <c r="AD336" s="123"/>
      <c r="AE336" s="123"/>
      <c r="AF336" s="123"/>
      <c r="AG336" s="123"/>
      <c r="AH336" s="123"/>
      <c r="AI336" s="123"/>
      <c r="AJ336" s="123"/>
      <c r="AK336" s="123"/>
    </row>
    <row r="337" spans="6:37" s="120" customFormat="1" ht="12.75" x14ac:dyDescent="0.2">
      <c r="F337" s="121"/>
      <c r="G337" s="122"/>
      <c r="H337" s="122"/>
      <c r="I337" s="123"/>
      <c r="J337" s="123"/>
      <c r="K337" s="123"/>
      <c r="L337" s="124"/>
      <c r="M337" s="124"/>
      <c r="N337" s="124"/>
      <c r="O337" s="124"/>
      <c r="P337" s="124"/>
      <c r="Q337" s="124"/>
      <c r="R337" s="124"/>
      <c r="S337" s="124"/>
      <c r="T337" s="124"/>
      <c r="U337" s="124"/>
      <c r="V337" s="124"/>
      <c r="W337" s="124"/>
      <c r="X337" s="124"/>
      <c r="Y337" s="124"/>
      <c r="Z337" s="124"/>
      <c r="AA337" s="123"/>
      <c r="AB337" s="123"/>
      <c r="AC337" s="123"/>
      <c r="AD337" s="123"/>
      <c r="AE337" s="123"/>
      <c r="AF337" s="123"/>
      <c r="AG337" s="123"/>
      <c r="AH337" s="123"/>
      <c r="AI337" s="123"/>
      <c r="AJ337" s="123"/>
      <c r="AK337" s="123"/>
    </row>
    <row r="338" spans="6:37" s="120" customFormat="1" ht="12.75" x14ac:dyDescent="0.2">
      <c r="F338" s="121"/>
      <c r="G338" s="122"/>
      <c r="H338" s="122"/>
      <c r="I338" s="123"/>
      <c r="J338" s="123"/>
      <c r="K338" s="123"/>
      <c r="L338" s="124"/>
      <c r="M338" s="124"/>
      <c r="N338" s="124"/>
      <c r="O338" s="124"/>
      <c r="P338" s="124"/>
      <c r="Q338" s="124"/>
      <c r="R338" s="124"/>
      <c r="S338" s="124"/>
      <c r="T338" s="124"/>
      <c r="U338" s="124"/>
      <c r="V338" s="124"/>
      <c r="W338" s="124"/>
      <c r="X338" s="124"/>
      <c r="Y338" s="124"/>
      <c r="Z338" s="124"/>
      <c r="AA338" s="123"/>
      <c r="AB338" s="123"/>
      <c r="AC338" s="123"/>
      <c r="AD338" s="123"/>
      <c r="AE338" s="123"/>
      <c r="AF338" s="123"/>
      <c r="AG338" s="123"/>
      <c r="AH338" s="123"/>
      <c r="AI338" s="123"/>
      <c r="AJ338" s="123"/>
      <c r="AK338" s="123"/>
    </row>
    <row r="339" spans="6:37" s="120" customFormat="1" ht="12.75" x14ac:dyDescent="0.2">
      <c r="F339" s="121"/>
      <c r="G339" s="122"/>
      <c r="H339" s="122"/>
      <c r="I339" s="123"/>
      <c r="J339" s="123"/>
      <c r="K339" s="123"/>
      <c r="L339" s="124"/>
      <c r="M339" s="124"/>
      <c r="N339" s="124"/>
      <c r="O339" s="124"/>
      <c r="P339" s="124"/>
      <c r="Q339" s="124"/>
      <c r="R339" s="124"/>
      <c r="S339" s="124"/>
      <c r="T339" s="124"/>
      <c r="U339" s="124"/>
      <c r="V339" s="124"/>
      <c r="W339" s="124"/>
      <c r="X339" s="124"/>
      <c r="Y339" s="124"/>
      <c r="Z339" s="124"/>
      <c r="AA339" s="123"/>
      <c r="AB339" s="123"/>
      <c r="AC339" s="123"/>
      <c r="AD339" s="123"/>
      <c r="AE339" s="123"/>
      <c r="AF339" s="123"/>
      <c r="AG339" s="123"/>
      <c r="AH339" s="123"/>
      <c r="AI339" s="123"/>
      <c r="AJ339" s="123"/>
      <c r="AK339" s="123"/>
    </row>
    <row r="340" spans="6:37" s="120" customFormat="1" ht="12.75" x14ac:dyDescent="0.2">
      <c r="F340" s="121"/>
      <c r="G340" s="122"/>
      <c r="H340" s="122"/>
      <c r="I340" s="123"/>
      <c r="J340" s="123"/>
      <c r="K340" s="123"/>
      <c r="L340" s="124"/>
      <c r="M340" s="124"/>
      <c r="N340" s="124"/>
      <c r="O340" s="124"/>
      <c r="P340" s="124"/>
      <c r="Q340" s="124"/>
      <c r="R340" s="124"/>
      <c r="S340" s="124"/>
      <c r="T340" s="124"/>
      <c r="U340" s="124"/>
      <c r="V340" s="124"/>
      <c r="W340" s="124"/>
      <c r="X340" s="124"/>
      <c r="Y340" s="124"/>
      <c r="Z340" s="124"/>
      <c r="AA340" s="123"/>
      <c r="AB340" s="123"/>
      <c r="AC340" s="123"/>
      <c r="AD340" s="123"/>
      <c r="AE340" s="123"/>
      <c r="AF340" s="123"/>
      <c r="AG340" s="123"/>
      <c r="AH340" s="123"/>
      <c r="AI340" s="123"/>
      <c r="AJ340" s="123"/>
      <c r="AK340" s="123"/>
    </row>
    <row r="341" spans="6:37" s="120" customFormat="1" ht="12.75" x14ac:dyDescent="0.2">
      <c r="F341" s="121"/>
      <c r="G341" s="122"/>
      <c r="H341" s="122"/>
      <c r="I341" s="123"/>
      <c r="J341" s="123"/>
      <c r="K341" s="123"/>
      <c r="L341" s="124"/>
      <c r="M341" s="124"/>
      <c r="N341" s="124"/>
      <c r="O341" s="124"/>
      <c r="P341" s="124"/>
      <c r="Q341" s="124"/>
      <c r="R341" s="124"/>
      <c r="S341" s="124"/>
      <c r="T341" s="124"/>
      <c r="U341" s="124"/>
      <c r="V341" s="124"/>
      <c r="W341" s="124"/>
      <c r="X341" s="124"/>
      <c r="Y341" s="124"/>
      <c r="Z341" s="124"/>
      <c r="AA341" s="123"/>
      <c r="AB341" s="123"/>
      <c r="AC341" s="123"/>
      <c r="AD341" s="123"/>
      <c r="AE341" s="123"/>
      <c r="AF341" s="123"/>
      <c r="AG341" s="123"/>
      <c r="AH341" s="123"/>
      <c r="AI341" s="123"/>
      <c r="AJ341" s="123"/>
      <c r="AK341" s="123"/>
    </row>
    <row r="342" spans="6:37" s="120" customFormat="1" ht="12.75" x14ac:dyDescent="0.2">
      <c r="F342" s="121"/>
      <c r="G342" s="122"/>
      <c r="H342" s="122"/>
      <c r="I342" s="123"/>
      <c r="J342" s="123"/>
      <c r="K342" s="123"/>
      <c r="L342" s="124"/>
      <c r="M342" s="124"/>
      <c r="N342" s="124"/>
      <c r="O342" s="124"/>
      <c r="P342" s="124"/>
      <c r="Q342" s="124"/>
      <c r="R342" s="124"/>
      <c r="S342" s="124"/>
      <c r="T342" s="124"/>
      <c r="U342" s="124"/>
      <c r="V342" s="124"/>
      <c r="W342" s="124"/>
      <c r="X342" s="124"/>
      <c r="Y342" s="124"/>
      <c r="Z342" s="124"/>
      <c r="AA342" s="123"/>
      <c r="AB342" s="123"/>
      <c r="AC342" s="123"/>
      <c r="AD342" s="123"/>
      <c r="AE342" s="123"/>
      <c r="AF342" s="123"/>
      <c r="AG342" s="123"/>
      <c r="AH342" s="123"/>
      <c r="AI342" s="123"/>
      <c r="AJ342" s="123"/>
      <c r="AK342" s="123"/>
    </row>
    <row r="343" spans="6:37" s="120" customFormat="1" ht="12.75" x14ac:dyDescent="0.2">
      <c r="F343" s="121"/>
      <c r="G343" s="122"/>
      <c r="H343" s="122"/>
      <c r="I343" s="123"/>
      <c r="J343" s="123"/>
      <c r="K343" s="123"/>
      <c r="L343" s="124"/>
      <c r="M343" s="124"/>
      <c r="N343" s="124"/>
      <c r="O343" s="124"/>
      <c r="P343" s="124"/>
      <c r="Q343" s="124"/>
      <c r="R343" s="124"/>
      <c r="S343" s="124"/>
      <c r="T343" s="124"/>
      <c r="U343" s="124"/>
      <c r="V343" s="124"/>
      <c r="W343" s="124"/>
      <c r="X343" s="124"/>
      <c r="Y343" s="124"/>
      <c r="Z343" s="124"/>
      <c r="AA343" s="123"/>
      <c r="AB343" s="123"/>
      <c r="AC343" s="123"/>
      <c r="AD343" s="123"/>
      <c r="AE343" s="123"/>
      <c r="AF343" s="123"/>
      <c r="AG343" s="123"/>
      <c r="AH343" s="123"/>
      <c r="AI343" s="123"/>
      <c r="AJ343" s="123"/>
      <c r="AK343" s="123"/>
    </row>
    <row r="344" spans="6:37" s="120" customFormat="1" ht="12.75" x14ac:dyDescent="0.2">
      <c r="F344" s="121"/>
      <c r="G344" s="122"/>
      <c r="H344" s="122"/>
      <c r="I344" s="123"/>
      <c r="J344" s="123"/>
      <c r="K344" s="123"/>
      <c r="L344" s="124"/>
      <c r="M344" s="124"/>
      <c r="N344" s="124"/>
      <c r="O344" s="124"/>
      <c r="P344" s="124"/>
      <c r="Q344" s="124"/>
      <c r="R344" s="124"/>
      <c r="S344" s="124"/>
      <c r="T344" s="124"/>
      <c r="U344" s="124"/>
      <c r="V344" s="124"/>
      <c r="W344" s="124"/>
      <c r="X344" s="124"/>
      <c r="Y344" s="124"/>
      <c r="Z344" s="124"/>
      <c r="AA344" s="123"/>
      <c r="AB344" s="123"/>
      <c r="AC344" s="123"/>
      <c r="AD344" s="123"/>
      <c r="AE344" s="123"/>
      <c r="AF344" s="123"/>
      <c r="AG344" s="123"/>
      <c r="AH344" s="123"/>
      <c r="AI344" s="123"/>
      <c r="AJ344" s="123"/>
      <c r="AK344" s="123"/>
    </row>
    <row r="345" spans="6:37" s="120" customFormat="1" ht="12.75" x14ac:dyDescent="0.2">
      <c r="F345" s="121"/>
      <c r="G345" s="122"/>
      <c r="H345" s="122"/>
      <c r="I345" s="123"/>
      <c r="J345" s="123"/>
      <c r="K345" s="123"/>
      <c r="L345" s="124"/>
      <c r="M345" s="124"/>
      <c r="N345" s="124"/>
      <c r="O345" s="124"/>
      <c r="P345" s="124"/>
      <c r="Q345" s="124"/>
      <c r="R345" s="124"/>
      <c r="S345" s="124"/>
      <c r="T345" s="124"/>
      <c r="U345" s="124"/>
      <c r="V345" s="124"/>
      <c r="W345" s="124"/>
      <c r="X345" s="124"/>
      <c r="Y345" s="124"/>
      <c r="Z345" s="124"/>
      <c r="AA345" s="123"/>
      <c r="AB345" s="123"/>
      <c r="AC345" s="123"/>
      <c r="AD345" s="123"/>
      <c r="AE345" s="123"/>
      <c r="AF345" s="123"/>
      <c r="AG345" s="123"/>
      <c r="AH345" s="123"/>
      <c r="AI345" s="123"/>
      <c r="AJ345" s="123"/>
      <c r="AK345" s="123"/>
    </row>
    <row r="346" spans="6:37" s="120" customFormat="1" ht="12.75" x14ac:dyDescent="0.2">
      <c r="F346" s="121"/>
      <c r="G346" s="122"/>
      <c r="H346" s="122"/>
      <c r="I346" s="123"/>
      <c r="J346" s="123"/>
      <c r="K346" s="123"/>
      <c r="L346" s="124"/>
      <c r="M346" s="124"/>
      <c r="N346" s="124"/>
      <c r="O346" s="124"/>
      <c r="P346" s="124"/>
      <c r="Q346" s="124"/>
      <c r="R346" s="124"/>
      <c r="S346" s="124"/>
      <c r="T346" s="124"/>
      <c r="U346" s="124"/>
      <c r="V346" s="124"/>
      <c r="W346" s="124"/>
      <c r="X346" s="124"/>
      <c r="Y346" s="124"/>
      <c r="Z346" s="124"/>
      <c r="AA346" s="123"/>
      <c r="AB346" s="123"/>
      <c r="AC346" s="123"/>
      <c r="AD346" s="123"/>
      <c r="AE346" s="123"/>
      <c r="AF346" s="123"/>
      <c r="AG346" s="123"/>
      <c r="AH346" s="123"/>
      <c r="AI346" s="123"/>
      <c r="AJ346" s="123"/>
      <c r="AK346" s="123"/>
    </row>
    <row r="347" spans="6:37" s="120" customFormat="1" ht="12.75" x14ac:dyDescent="0.2">
      <c r="F347" s="121"/>
      <c r="G347" s="122"/>
      <c r="H347" s="122"/>
      <c r="I347" s="123"/>
      <c r="J347" s="123"/>
      <c r="K347" s="123"/>
      <c r="L347" s="124"/>
      <c r="M347" s="124"/>
      <c r="N347" s="124"/>
      <c r="O347" s="124"/>
      <c r="P347" s="124"/>
      <c r="Q347" s="124"/>
      <c r="R347" s="124"/>
      <c r="S347" s="124"/>
      <c r="T347" s="124"/>
      <c r="U347" s="124"/>
      <c r="V347" s="124"/>
      <c r="W347" s="124"/>
      <c r="X347" s="124"/>
      <c r="Y347" s="124"/>
      <c r="Z347" s="124"/>
      <c r="AA347" s="123"/>
      <c r="AB347" s="123"/>
      <c r="AC347" s="123"/>
      <c r="AD347" s="123"/>
      <c r="AE347" s="123"/>
      <c r="AF347" s="123"/>
      <c r="AG347" s="123"/>
      <c r="AH347" s="123"/>
      <c r="AI347" s="123"/>
      <c r="AJ347" s="123"/>
      <c r="AK347" s="123"/>
    </row>
    <row r="348" spans="6:37" s="120" customFormat="1" ht="12.75" x14ac:dyDescent="0.2">
      <c r="F348" s="121"/>
      <c r="G348" s="122"/>
      <c r="H348" s="122"/>
      <c r="I348" s="123"/>
      <c r="J348" s="123"/>
      <c r="K348" s="123"/>
      <c r="L348" s="124"/>
      <c r="M348" s="124"/>
      <c r="N348" s="124"/>
      <c r="O348" s="124"/>
      <c r="P348" s="124"/>
      <c r="Q348" s="124"/>
      <c r="R348" s="124"/>
      <c r="S348" s="124"/>
      <c r="T348" s="124"/>
      <c r="U348" s="124"/>
      <c r="V348" s="124"/>
      <c r="W348" s="124"/>
      <c r="X348" s="124"/>
      <c r="Y348" s="124"/>
      <c r="Z348" s="124"/>
      <c r="AA348" s="123"/>
      <c r="AB348" s="123"/>
      <c r="AC348" s="123"/>
      <c r="AD348" s="123"/>
      <c r="AE348" s="123"/>
      <c r="AF348" s="123"/>
      <c r="AG348" s="123"/>
      <c r="AH348" s="123"/>
      <c r="AI348" s="123"/>
      <c r="AJ348" s="123"/>
      <c r="AK348" s="123"/>
    </row>
    <row r="349" spans="6:37" s="120" customFormat="1" ht="12.75" x14ac:dyDescent="0.2">
      <c r="F349" s="121"/>
      <c r="G349" s="122"/>
      <c r="H349" s="122"/>
      <c r="I349" s="123"/>
      <c r="J349" s="123"/>
      <c r="K349" s="123"/>
      <c r="L349" s="124"/>
      <c r="M349" s="124"/>
      <c r="N349" s="124"/>
      <c r="O349" s="124"/>
      <c r="P349" s="124"/>
      <c r="Q349" s="124"/>
      <c r="R349" s="124"/>
      <c r="S349" s="124"/>
      <c r="T349" s="124"/>
      <c r="U349" s="124"/>
      <c r="V349" s="124"/>
      <c r="W349" s="124"/>
      <c r="X349" s="124"/>
      <c r="Y349" s="124"/>
      <c r="Z349" s="124"/>
      <c r="AA349" s="123"/>
      <c r="AB349" s="123"/>
      <c r="AC349" s="123"/>
      <c r="AD349" s="123"/>
      <c r="AE349" s="123"/>
      <c r="AF349" s="123"/>
      <c r="AG349" s="123"/>
      <c r="AH349" s="123"/>
      <c r="AI349" s="123"/>
      <c r="AJ349" s="123"/>
      <c r="AK349" s="123"/>
    </row>
    <row r="350" spans="6:37" s="120" customFormat="1" ht="12.75" x14ac:dyDescent="0.2">
      <c r="F350" s="121"/>
      <c r="G350" s="122"/>
      <c r="H350" s="122"/>
      <c r="I350" s="123"/>
      <c r="J350" s="123"/>
      <c r="K350" s="123"/>
      <c r="L350" s="124"/>
      <c r="M350" s="124"/>
      <c r="N350" s="124"/>
      <c r="O350" s="124"/>
      <c r="P350" s="124"/>
      <c r="Q350" s="124"/>
      <c r="R350" s="124"/>
      <c r="S350" s="124"/>
      <c r="T350" s="124"/>
      <c r="U350" s="124"/>
      <c r="V350" s="124"/>
      <c r="W350" s="124"/>
      <c r="X350" s="124"/>
      <c r="Y350" s="124"/>
      <c r="Z350" s="124"/>
      <c r="AA350" s="123"/>
      <c r="AB350" s="123"/>
      <c r="AC350" s="123"/>
      <c r="AD350" s="123"/>
      <c r="AE350" s="123"/>
      <c r="AF350" s="123"/>
      <c r="AG350" s="123"/>
      <c r="AH350" s="123"/>
      <c r="AI350" s="123"/>
      <c r="AJ350" s="123"/>
      <c r="AK350" s="123"/>
    </row>
    <row r="351" spans="6:37" s="120" customFormat="1" ht="12.75" x14ac:dyDescent="0.2">
      <c r="F351" s="121"/>
      <c r="G351" s="122"/>
      <c r="H351" s="122"/>
      <c r="I351" s="123"/>
      <c r="J351" s="123"/>
      <c r="K351" s="123"/>
      <c r="L351" s="124"/>
      <c r="M351" s="124"/>
      <c r="N351" s="124"/>
      <c r="O351" s="124"/>
      <c r="P351" s="124"/>
      <c r="Q351" s="124"/>
      <c r="R351" s="124"/>
      <c r="S351" s="124"/>
      <c r="T351" s="124"/>
      <c r="U351" s="124"/>
      <c r="V351" s="124"/>
      <c r="W351" s="124"/>
      <c r="X351" s="124"/>
      <c r="Y351" s="124"/>
      <c r="Z351" s="124"/>
      <c r="AA351" s="123"/>
      <c r="AB351" s="123"/>
      <c r="AC351" s="123"/>
      <c r="AD351" s="123"/>
      <c r="AE351" s="123"/>
      <c r="AF351" s="123"/>
      <c r="AG351" s="123"/>
      <c r="AH351" s="123"/>
      <c r="AI351" s="123"/>
      <c r="AJ351" s="123"/>
      <c r="AK351" s="123"/>
    </row>
    <row r="352" spans="6:37" s="120" customFormat="1" ht="12.75" x14ac:dyDescent="0.2">
      <c r="F352" s="121"/>
      <c r="G352" s="122"/>
      <c r="H352" s="122"/>
      <c r="I352" s="123"/>
      <c r="J352" s="123"/>
      <c r="K352" s="123"/>
      <c r="L352" s="124"/>
      <c r="M352" s="124"/>
      <c r="N352" s="124"/>
      <c r="O352" s="124"/>
      <c r="P352" s="124"/>
      <c r="Q352" s="124"/>
      <c r="R352" s="124"/>
      <c r="S352" s="124"/>
      <c r="T352" s="124"/>
      <c r="U352" s="124"/>
      <c r="V352" s="124"/>
      <c r="W352" s="124"/>
      <c r="X352" s="124"/>
      <c r="Y352" s="124"/>
      <c r="Z352" s="124"/>
      <c r="AA352" s="123"/>
      <c r="AB352" s="123"/>
      <c r="AC352" s="123"/>
      <c r="AD352" s="123"/>
      <c r="AE352" s="123"/>
      <c r="AF352" s="123"/>
      <c r="AG352" s="123"/>
      <c r="AH352" s="123"/>
      <c r="AI352" s="123"/>
      <c r="AJ352" s="123"/>
      <c r="AK352" s="123"/>
    </row>
    <row r="353" spans="3:37" s="120" customFormat="1" ht="12.75" x14ac:dyDescent="0.2">
      <c r="F353" s="121"/>
      <c r="G353" s="122"/>
      <c r="H353" s="122"/>
      <c r="I353" s="123"/>
      <c r="J353" s="123"/>
      <c r="K353" s="123"/>
      <c r="L353" s="124"/>
      <c r="M353" s="124"/>
      <c r="N353" s="124"/>
      <c r="O353" s="124"/>
      <c r="P353" s="124"/>
      <c r="Q353" s="124"/>
      <c r="R353" s="124"/>
      <c r="S353" s="124"/>
      <c r="T353" s="124"/>
      <c r="U353" s="124"/>
      <c r="V353" s="124"/>
      <c r="W353" s="124"/>
      <c r="X353" s="124"/>
      <c r="Y353" s="124"/>
      <c r="Z353" s="124"/>
      <c r="AA353" s="123"/>
      <c r="AB353" s="123"/>
      <c r="AC353" s="123"/>
      <c r="AD353" s="123"/>
      <c r="AE353" s="123"/>
      <c r="AF353" s="123"/>
      <c r="AG353" s="123"/>
      <c r="AH353" s="123"/>
      <c r="AI353" s="123"/>
      <c r="AJ353" s="123"/>
      <c r="AK353" s="123"/>
    </row>
    <row r="354" spans="3:37" ht="12.75" x14ac:dyDescent="0.2">
      <c r="C354" s="120"/>
      <c r="D354" s="120"/>
      <c r="E354" s="120"/>
    </row>
    <row r="355" spans="3:37" ht="12.75" x14ac:dyDescent="0.2">
      <c r="C355" s="120"/>
      <c r="D355" s="120"/>
      <c r="E355" s="120"/>
    </row>
    <row r="356" spans="3:37" ht="12.75" x14ac:dyDescent="0.2">
      <c r="C356" s="120"/>
      <c r="D356" s="120"/>
      <c r="E356" s="120"/>
    </row>
    <row r="357" spans="3:37" ht="12.75" x14ac:dyDescent="0.2">
      <c r="C357" s="120"/>
      <c r="D357" s="120"/>
      <c r="E357" s="120"/>
    </row>
    <row r="358" spans="3:37" ht="12.75" x14ac:dyDescent="0.2">
      <c r="C358" s="120"/>
      <c r="D358" s="120"/>
      <c r="E358" s="120"/>
    </row>
    <row r="359" spans="3:37" ht="12.75" x14ac:dyDescent="0.2">
      <c r="C359" s="120"/>
      <c r="D359" s="120"/>
      <c r="E359" s="120"/>
    </row>
    <row r="360" spans="3:37" ht="12.75" x14ac:dyDescent="0.2">
      <c r="C360" s="120"/>
      <c r="D360" s="120"/>
      <c r="E360" s="120"/>
    </row>
    <row r="361" spans="3:37" ht="12.75" x14ac:dyDescent="0.2">
      <c r="C361" s="120"/>
      <c r="D361" s="120"/>
      <c r="E361" s="120"/>
    </row>
    <row r="362" spans="3:37" ht="12.75" x14ac:dyDescent="0.2">
      <c r="C362" s="120"/>
      <c r="D362" s="120"/>
      <c r="E362" s="120"/>
    </row>
    <row r="363" spans="3:37" ht="12.75" x14ac:dyDescent="0.2">
      <c r="C363" s="120"/>
      <c r="D363" s="120"/>
      <c r="E363" s="120"/>
    </row>
    <row r="364" spans="3:37" ht="12.75" x14ac:dyDescent="0.2">
      <c r="C364" s="120"/>
      <c r="D364" s="120"/>
      <c r="E364" s="120"/>
    </row>
    <row r="365" spans="3:37" ht="12.75" x14ac:dyDescent="0.2">
      <c r="C365" s="120"/>
      <c r="D365" s="120"/>
      <c r="E365" s="120"/>
    </row>
    <row r="366" spans="3:37" ht="12.75" x14ac:dyDescent="0.2">
      <c r="C366" s="120"/>
      <c r="D366" s="120"/>
      <c r="E366" s="120"/>
    </row>
    <row r="367" spans="3:37" ht="12.75" x14ac:dyDescent="0.2">
      <c r="C367" s="120"/>
      <c r="D367" s="120"/>
      <c r="E367" s="120"/>
    </row>
    <row r="368" spans="3:37" ht="12.75" x14ac:dyDescent="0.2">
      <c r="C368" s="120"/>
      <c r="D368" s="120"/>
      <c r="E368" s="120"/>
    </row>
    <row r="369" spans="3:5" ht="12.75" x14ac:dyDescent="0.2">
      <c r="C369" s="120"/>
      <c r="D369" s="120"/>
      <c r="E369" s="120"/>
    </row>
    <row r="370" spans="3:5" ht="12.75" x14ac:dyDescent="0.2">
      <c r="C370" s="120"/>
      <c r="D370" s="120"/>
      <c r="E370" s="120"/>
    </row>
    <row r="371" spans="3:5" ht="12.75" x14ac:dyDescent="0.2">
      <c r="C371" s="120"/>
      <c r="D371" s="120"/>
      <c r="E371" s="120"/>
    </row>
    <row r="372" spans="3:5" ht="12.75" x14ac:dyDescent="0.2">
      <c r="C372" s="120"/>
      <c r="D372" s="120"/>
      <c r="E372" s="120"/>
    </row>
    <row r="373" spans="3:5" ht="12.75" x14ac:dyDescent="0.2">
      <c r="C373" s="120"/>
      <c r="D373" s="120"/>
      <c r="E373" s="120"/>
    </row>
    <row r="374" spans="3:5" ht="12.75" x14ac:dyDescent="0.2">
      <c r="C374" s="120"/>
      <c r="D374" s="120"/>
      <c r="E374" s="120"/>
    </row>
    <row r="375" spans="3:5" ht="12.75" x14ac:dyDescent="0.2">
      <c r="C375" s="120"/>
      <c r="D375" s="120"/>
      <c r="E375" s="120"/>
    </row>
    <row r="376" spans="3:5" ht="12.75" x14ac:dyDescent="0.2">
      <c r="C376" s="120"/>
      <c r="D376" s="120"/>
      <c r="E376" s="120"/>
    </row>
    <row r="377" spans="3:5" ht="12.75" x14ac:dyDescent="0.2">
      <c r="C377" s="120"/>
      <c r="D377" s="120"/>
      <c r="E377" s="120"/>
    </row>
    <row r="378" spans="3:5" ht="12.75" x14ac:dyDescent="0.2">
      <c r="C378" s="120"/>
      <c r="D378" s="120"/>
      <c r="E378" s="120"/>
    </row>
    <row r="379" spans="3:5" ht="12.75" x14ac:dyDescent="0.2">
      <c r="C379" s="120"/>
      <c r="D379" s="120"/>
      <c r="E379" s="120"/>
    </row>
    <row r="380" spans="3:5" ht="12.75" x14ac:dyDescent="0.2">
      <c r="C380" s="120"/>
      <c r="D380" s="120"/>
      <c r="E380" s="120"/>
    </row>
    <row r="381" spans="3:5" ht="12.75" x14ac:dyDescent="0.2">
      <c r="C381" s="120"/>
      <c r="D381" s="120"/>
      <c r="E381" s="120"/>
    </row>
    <row r="382" spans="3:5" ht="12.75" x14ac:dyDescent="0.2">
      <c r="C382" s="120"/>
      <c r="D382" s="120"/>
      <c r="E382" s="120"/>
    </row>
    <row r="383" spans="3:5" ht="12.75" x14ac:dyDescent="0.2">
      <c r="C383" s="120"/>
      <c r="D383" s="120"/>
      <c r="E383" s="120"/>
    </row>
    <row r="384" spans="3:5" ht="12.75" x14ac:dyDescent="0.2">
      <c r="C384" s="120"/>
      <c r="D384" s="120"/>
      <c r="E384" s="120"/>
    </row>
    <row r="385" spans="3:5" ht="12.75" x14ac:dyDescent="0.2">
      <c r="C385" s="120"/>
      <c r="D385" s="120"/>
      <c r="E385" s="120"/>
    </row>
    <row r="386" spans="3:5" ht="12.75" x14ac:dyDescent="0.2">
      <c r="C386" s="120"/>
      <c r="D386" s="120"/>
      <c r="E386" s="120"/>
    </row>
    <row r="387" spans="3:5" ht="12.75" x14ac:dyDescent="0.2">
      <c r="C387" s="120"/>
      <c r="D387" s="120"/>
      <c r="E387" s="120"/>
    </row>
    <row r="388" spans="3:5" ht="12.75" x14ac:dyDescent="0.2">
      <c r="C388" s="120"/>
      <c r="D388" s="120"/>
      <c r="E388" s="120"/>
    </row>
    <row r="389" spans="3:5" ht="12.75" x14ac:dyDescent="0.2">
      <c r="C389" s="120"/>
      <c r="D389" s="120"/>
      <c r="E389" s="120"/>
    </row>
    <row r="390" spans="3:5" ht="12.75" x14ac:dyDescent="0.2">
      <c r="C390" s="120"/>
      <c r="D390" s="120"/>
      <c r="E390" s="120"/>
    </row>
    <row r="391" spans="3:5" ht="12.75" x14ac:dyDescent="0.2">
      <c r="C391" s="120"/>
      <c r="D391" s="120"/>
      <c r="E391" s="120"/>
    </row>
    <row r="392" spans="3:5" ht="12.75" x14ac:dyDescent="0.2">
      <c r="C392" s="120"/>
      <c r="D392" s="120"/>
      <c r="E392" s="120"/>
    </row>
    <row r="393" spans="3:5" ht="12.75" x14ac:dyDescent="0.2">
      <c r="C393" s="120"/>
      <c r="D393" s="120"/>
      <c r="E393" s="120"/>
    </row>
    <row r="394" spans="3:5" ht="12.75" x14ac:dyDescent="0.2">
      <c r="C394" s="120"/>
      <c r="D394" s="120"/>
      <c r="E394" s="120"/>
    </row>
    <row r="395" spans="3:5" ht="12.75" x14ac:dyDescent="0.2">
      <c r="C395" s="120"/>
      <c r="D395" s="120"/>
      <c r="E395" s="120"/>
    </row>
    <row r="396" spans="3:5" ht="12.75" x14ac:dyDescent="0.2">
      <c r="C396" s="120"/>
      <c r="D396" s="120"/>
      <c r="E396" s="120"/>
    </row>
    <row r="397" spans="3:5" ht="12.75" x14ac:dyDescent="0.2">
      <c r="C397" s="120"/>
      <c r="D397" s="120"/>
      <c r="E397" s="120"/>
    </row>
    <row r="398" spans="3:5" ht="12.75" x14ac:dyDescent="0.2">
      <c r="C398" s="120"/>
      <c r="D398" s="120"/>
      <c r="E398" s="120"/>
    </row>
    <row r="399" spans="3:5" ht="12.75" x14ac:dyDescent="0.2">
      <c r="C399" s="120"/>
      <c r="D399" s="120"/>
      <c r="E399" s="120"/>
    </row>
    <row r="400" spans="3:5" ht="12.75" x14ac:dyDescent="0.2">
      <c r="C400" s="120"/>
      <c r="D400" s="120"/>
      <c r="E400" s="120"/>
    </row>
    <row r="401" spans="3:5" ht="12.75" x14ac:dyDescent="0.2">
      <c r="C401" s="120"/>
      <c r="D401" s="120"/>
      <c r="E401" s="120"/>
    </row>
    <row r="402" spans="3:5" ht="12.75" x14ac:dyDescent="0.2">
      <c r="C402" s="120"/>
      <c r="D402" s="120"/>
      <c r="E402" s="120"/>
    </row>
    <row r="403" spans="3:5" ht="12.75" x14ac:dyDescent="0.2">
      <c r="C403" s="120"/>
      <c r="D403" s="120"/>
      <c r="E403" s="120"/>
    </row>
    <row r="404" spans="3:5" ht="12.75" x14ac:dyDescent="0.2">
      <c r="C404" s="120"/>
      <c r="D404" s="120"/>
      <c r="E404" s="120"/>
    </row>
    <row r="405" spans="3:5" ht="12.75" x14ac:dyDescent="0.2">
      <c r="C405" s="120"/>
      <c r="D405" s="120"/>
      <c r="E405" s="120"/>
    </row>
    <row r="406" spans="3:5" ht="12.75" x14ac:dyDescent="0.2">
      <c r="C406" s="120"/>
      <c r="D406" s="120"/>
      <c r="E406" s="120"/>
    </row>
    <row r="407" spans="3:5" ht="12.75" x14ac:dyDescent="0.2">
      <c r="C407" s="120"/>
      <c r="D407" s="120"/>
      <c r="E407" s="120"/>
    </row>
    <row r="408" spans="3:5" ht="12.75" x14ac:dyDescent="0.2">
      <c r="C408" s="120"/>
      <c r="D408" s="120"/>
      <c r="E408" s="120"/>
    </row>
    <row r="409" spans="3:5" ht="12.75" x14ac:dyDescent="0.2">
      <c r="C409" s="120"/>
      <c r="D409" s="120"/>
      <c r="E409" s="120"/>
    </row>
    <row r="410" spans="3:5" ht="12.75" x14ac:dyDescent="0.2">
      <c r="C410" s="120"/>
      <c r="D410" s="120"/>
      <c r="E410" s="120"/>
    </row>
    <row r="411" spans="3:5" ht="12.75" x14ac:dyDescent="0.2">
      <c r="C411" s="120"/>
      <c r="D411" s="120"/>
      <c r="E411" s="120"/>
    </row>
    <row r="412" spans="3:5" ht="12.75" x14ac:dyDescent="0.2">
      <c r="C412" s="120"/>
      <c r="D412" s="120"/>
      <c r="E412" s="120"/>
    </row>
    <row r="413" spans="3:5" ht="12.75" x14ac:dyDescent="0.2">
      <c r="C413" s="120"/>
      <c r="D413" s="120"/>
      <c r="E413" s="120"/>
    </row>
    <row r="414" spans="3:5" ht="12.75" x14ac:dyDescent="0.2">
      <c r="C414" s="120"/>
      <c r="D414" s="120"/>
      <c r="E414" s="120"/>
    </row>
    <row r="415" spans="3:5" ht="12.75" x14ac:dyDescent="0.2">
      <c r="C415" s="120"/>
      <c r="D415" s="120"/>
      <c r="E415" s="120"/>
    </row>
    <row r="416" spans="3:5" ht="12.75" x14ac:dyDescent="0.2">
      <c r="C416" s="120"/>
      <c r="D416" s="120"/>
      <c r="E416" s="120"/>
    </row>
    <row r="417" spans="3:5" ht="12.75" x14ac:dyDescent="0.2">
      <c r="C417" s="120"/>
      <c r="D417" s="120"/>
      <c r="E417" s="120"/>
    </row>
    <row r="418" spans="3:5" ht="12.75" x14ac:dyDescent="0.2">
      <c r="C418" s="120"/>
      <c r="D418" s="120"/>
      <c r="E418" s="120"/>
    </row>
    <row r="419" spans="3:5" ht="12.75" x14ac:dyDescent="0.2">
      <c r="C419" s="120"/>
      <c r="D419" s="120"/>
      <c r="E419" s="120"/>
    </row>
    <row r="420" spans="3:5" ht="12.75" x14ac:dyDescent="0.2">
      <c r="C420" s="120"/>
      <c r="D420" s="120"/>
      <c r="E420" s="120"/>
    </row>
    <row r="421" spans="3:5" ht="12.75" x14ac:dyDescent="0.2">
      <c r="C421" s="120"/>
      <c r="D421" s="120"/>
      <c r="E421" s="120"/>
    </row>
    <row r="422" spans="3:5" ht="12.75" x14ac:dyDescent="0.2">
      <c r="C422" s="120"/>
      <c r="D422" s="120"/>
      <c r="E422" s="120"/>
    </row>
    <row r="423" spans="3:5" ht="12.75" x14ac:dyDescent="0.2">
      <c r="C423" s="120"/>
      <c r="D423" s="120"/>
      <c r="E423" s="120"/>
    </row>
    <row r="424" spans="3:5" ht="12.75" x14ac:dyDescent="0.2">
      <c r="C424" s="120"/>
      <c r="D424" s="120"/>
      <c r="E424" s="120"/>
    </row>
    <row r="425" spans="3:5" ht="12.75" x14ac:dyDescent="0.2">
      <c r="C425" s="120"/>
      <c r="D425" s="120"/>
      <c r="E425" s="120"/>
    </row>
    <row r="426" spans="3:5" ht="12.75" x14ac:dyDescent="0.2">
      <c r="C426" s="120"/>
      <c r="D426" s="120"/>
      <c r="E426" s="120"/>
    </row>
    <row r="427" spans="3:5" ht="12.75" x14ac:dyDescent="0.2">
      <c r="C427" s="120"/>
      <c r="D427" s="120"/>
      <c r="E427" s="120"/>
    </row>
    <row r="428" spans="3:5" ht="12.75" x14ac:dyDescent="0.2">
      <c r="C428" s="120"/>
      <c r="D428" s="120"/>
      <c r="E428" s="120"/>
    </row>
    <row r="429" spans="3:5" ht="12.75" x14ac:dyDescent="0.2">
      <c r="C429" s="120"/>
      <c r="D429" s="120"/>
      <c r="E429" s="120"/>
    </row>
    <row r="430" spans="3:5" ht="12.75" x14ac:dyDescent="0.2">
      <c r="C430" s="120"/>
      <c r="D430" s="120"/>
      <c r="E430" s="120"/>
    </row>
    <row r="431" spans="3:5" ht="12.75" x14ac:dyDescent="0.2">
      <c r="C431" s="120"/>
      <c r="D431" s="120"/>
      <c r="E431" s="120"/>
    </row>
    <row r="432" spans="3:5" ht="12.75" x14ac:dyDescent="0.2">
      <c r="C432" s="120"/>
      <c r="D432" s="120"/>
      <c r="E432" s="120"/>
    </row>
    <row r="433" spans="3:5" ht="12.75" x14ac:dyDescent="0.2">
      <c r="C433" s="120"/>
      <c r="D433" s="120"/>
      <c r="E433" s="120"/>
    </row>
    <row r="434" spans="3:5" ht="12.75" x14ac:dyDescent="0.2">
      <c r="C434" s="120"/>
      <c r="D434" s="120"/>
      <c r="E434" s="120"/>
    </row>
    <row r="435" spans="3:5" ht="12.75" x14ac:dyDescent="0.2">
      <c r="C435" s="120"/>
      <c r="D435" s="120"/>
      <c r="E435" s="120"/>
    </row>
    <row r="436" spans="3:5" ht="12.75" x14ac:dyDescent="0.2">
      <c r="C436" s="120"/>
      <c r="D436" s="120"/>
      <c r="E436" s="120"/>
    </row>
    <row r="437" spans="3:5" ht="12.75" x14ac:dyDescent="0.2">
      <c r="C437" s="120"/>
      <c r="D437" s="120"/>
      <c r="E437" s="120"/>
    </row>
    <row r="438" spans="3:5" ht="12.75" x14ac:dyDescent="0.2">
      <c r="C438" s="120"/>
      <c r="D438" s="120"/>
      <c r="E438" s="120"/>
    </row>
    <row r="439" spans="3:5" ht="12.75" x14ac:dyDescent="0.2">
      <c r="C439" s="120"/>
      <c r="D439" s="120"/>
      <c r="E439" s="120"/>
    </row>
    <row r="440" spans="3:5" ht="12.75" x14ac:dyDescent="0.2">
      <c r="C440" s="120"/>
      <c r="D440" s="120"/>
      <c r="E440" s="120"/>
    </row>
    <row r="441" spans="3:5" ht="12.75" x14ac:dyDescent="0.2">
      <c r="C441" s="120"/>
      <c r="D441" s="120"/>
      <c r="E441" s="120"/>
    </row>
    <row r="442" spans="3:5" ht="12.75" x14ac:dyDescent="0.2">
      <c r="C442" s="120"/>
      <c r="D442" s="120"/>
      <c r="E442" s="120"/>
    </row>
    <row r="443" spans="3:5" ht="12.75" x14ac:dyDescent="0.2">
      <c r="C443" s="120"/>
      <c r="D443" s="120"/>
      <c r="E443" s="120"/>
    </row>
    <row r="444" spans="3:5" ht="12.75" x14ac:dyDescent="0.2">
      <c r="C444" s="120"/>
      <c r="D444" s="120"/>
      <c r="E444" s="120"/>
    </row>
    <row r="445" spans="3:5" ht="12.75" x14ac:dyDescent="0.2">
      <c r="C445" s="120"/>
      <c r="D445" s="120"/>
      <c r="E445" s="120"/>
    </row>
    <row r="446" spans="3:5" ht="12.75" x14ac:dyDescent="0.2">
      <c r="C446" s="120"/>
      <c r="D446" s="120"/>
      <c r="E446" s="120"/>
    </row>
    <row r="447" spans="3:5" ht="12.75" x14ac:dyDescent="0.2">
      <c r="C447" s="120"/>
      <c r="D447" s="120"/>
      <c r="E447" s="120"/>
    </row>
    <row r="448" spans="3:5" ht="12.75" x14ac:dyDescent="0.2">
      <c r="C448" s="120"/>
      <c r="D448" s="120"/>
      <c r="E448" s="120"/>
    </row>
    <row r="449" spans="3:5" ht="12.75" x14ac:dyDescent="0.2">
      <c r="C449" s="120"/>
      <c r="D449" s="120"/>
      <c r="E449" s="120"/>
    </row>
    <row r="450" spans="3:5" ht="12.75" x14ac:dyDescent="0.2">
      <c r="C450" s="120"/>
      <c r="D450" s="120"/>
      <c r="E450" s="120"/>
    </row>
    <row r="451" spans="3:5" ht="12.75" x14ac:dyDescent="0.2">
      <c r="C451" s="120"/>
      <c r="D451" s="120"/>
      <c r="E451" s="120"/>
    </row>
    <row r="452" spans="3:5" ht="12.75" x14ac:dyDescent="0.2">
      <c r="C452" s="120"/>
      <c r="D452" s="120"/>
      <c r="E452" s="120"/>
    </row>
    <row r="453" spans="3:5" ht="12.75" x14ac:dyDescent="0.2">
      <c r="C453" s="120"/>
      <c r="D453" s="120"/>
      <c r="E453" s="120"/>
    </row>
    <row r="454" spans="3:5" ht="12.75" x14ac:dyDescent="0.2">
      <c r="C454" s="120"/>
      <c r="D454" s="120"/>
      <c r="E454" s="120"/>
    </row>
    <row r="455" spans="3:5" ht="12.75" x14ac:dyDescent="0.2">
      <c r="C455" s="120"/>
      <c r="D455" s="120"/>
      <c r="E455" s="120"/>
    </row>
    <row r="456" spans="3:5" ht="12.75" x14ac:dyDescent="0.2">
      <c r="C456" s="120"/>
      <c r="D456" s="120"/>
      <c r="E456" s="120"/>
    </row>
    <row r="457" spans="3:5" ht="12.75" x14ac:dyDescent="0.2">
      <c r="C457" s="120"/>
      <c r="D457" s="120"/>
      <c r="E457" s="120"/>
    </row>
    <row r="458" spans="3:5" ht="12.75" x14ac:dyDescent="0.2">
      <c r="C458" s="120"/>
      <c r="D458" s="120"/>
      <c r="E458" s="120"/>
    </row>
    <row r="459" spans="3:5" ht="12.75" x14ac:dyDescent="0.2">
      <c r="C459" s="120"/>
      <c r="D459" s="120"/>
      <c r="E459" s="120"/>
    </row>
    <row r="460" spans="3:5" ht="12.75" x14ac:dyDescent="0.2">
      <c r="C460" s="120"/>
      <c r="D460" s="120"/>
      <c r="E460" s="120"/>
    </row>
    <row r="461" spans="3:5" ht="12.75" x14ac:dyDescent="0.2">
      <c r="C461" s="120"/>
      <c r="D461" s="120"/>
      <c r="E461" s="120"/>
    </row>
    <row r="462" spans="3:5" ht="12.75" x14ac:dyDescent="0.2">
      <c r="C462" s="120"/>
      <c r="D462" s="120"/>
      <c r="E462" s="120"/>
    </row>
    <row r="463" spans="3:5" ht="12.75" x14ac:dyDescent="0.2">
      <c r="C463" s="120"/>
      <c r="D463" s="120"/>
      <c r="E463" s="120"/>
    </row>
    <row r="464" spans="3:5" ht="12.75" x14ac:dyDescent="0.2">
      <c r="C464" s="120"/>
      <c r="D464" s="120"/>
      <c r="E464" s="120"/>
    </row>
    <row r="465" spans="3:5" ht="12.75" x14ac:dyDescent="0.2">
      <c r="C465" s="120"/>
      <c r="D465" s="120"/>
      <c r="E465" s="120"/>
    </row>
    <row r="466" spans="3:5" ht="12.75" x14ac:dyDescent="0.2">
      <c r="C466" s="120"/>
      <c r="D466" s="120"/>
      <c r="E466" s="120"/>
    </row>
    <row r="467" spans="3:5" ht="12.75" x14ac:dyDescent="0.2">
      <c r="C467" s="120"/>
      <c r="D467" s="120"/>
      <c r="E467" s="120"/>
    </row>
    <row r="468" spans="3:5" ht="12.75" x14ac:dyDescent="0.2">
      <c r="C468" s="120"/>
      <c r="D468" s="120"/>
      <c r="E468" s="120"/>
    </row>
    <row r="469" spans="3:5" ht="12.75" x14ac:dyDescent="0.2">
      <c r="C469" s="120"/>
      <c r="D469" s="120"/>
      <c r="E469" s="120"/>
    </row>
    <row r="470" spans="3:5" ht="12.75" x14ac:dyDescent="0.2">
      <c r="C470" s="120"/>
      <c r="D470" s="120"/>
      <c r="E470" s="120"/>
    </row>
    <row r="471" spans="3:5" ht="12.75" x14ac:dyDescent="0.2">
      <c r="C471" s="120"/>
      <c r="D471" s="120"/>
      <c r="E471" s="120"/>
    </row>
    <row r="472" spans="3:5" ht="12.75" x14ac:dyDescent="0.2">
      <c r="C472" s="120"/>
      <c r="D472" s="120"/>
      <c r="E472" s="120"/>
    </row>
    <row r="473" spans="3:5" ht="12.75" x14ac:dyDescent="0.2">
      <c r="C473" s="120"/>
      <c r="D473" s="120"/>
      <c r="E473" s="120"/>
    </row>
    <row r="474" spans="3:5" ht="12.75" x14ac:dyDescent="0.2">
      <c r="C474" s="120"/>
      <c r="D474" s="120"/>
      <c r="E474" s="120"/>
    </row>
    <row r="475" spans="3:5" ht="12.75" x14ac:dyDescent="0.2">
      <c r="C475" s="120"/>
      <c r="D475" s="120"/>
      <c r="E475" s="120"/>
    </row>
    <row r="476" spans="3:5" ht="12.75" x14ac:dyDescent="0.2">
      <c r="C476" s="120"/>
      <c r="D476" s="120"/>
      <c r="E476" s="120"/>
    </row>
    <row r="477" spans="3:5" ht="12.75" x14ac:dyDescent="0.2">
      <c r="C477" s="120"/>
      <c r="D477" s="120"/>
      <c r="E477" s="120"/>
    </row>
    <row r="478" spans="3:5" ht="12.75" x14ac:dyDescent="0.2">
      <c r="C478" s="120"/>
      <c r="D478" s="120"/>
      <c r="E478" s="120"/>
    </row>
    <row r="479" spans="3:5" ht="12.75" x14ac:dyDescent="0.2">
      <c r="C479" s="120"/>
      <c r="D479" s="120"/>
      <c r="E479" s="120"/>
    </row>
    <row r="480" spans="3:5" ht="12.75" x14ac:dyDescent="0.2">
      <c r="C480" s="120"/>
      <c r="D480" s="120"/>
      <c r="E480" s="120"/>
    </row>
    <row r="481" spans="3:5" ht="12.75" x14ac:dyDescent="0.2">
      <c r="C481" s="120"/>
      <c r="D481" s="120"/>
      <c r="E481" s="120"/>
    </row>
    <row r="482" spans="3:5" ht="12.75" x14ac:dyDescent="0.2">
      <c r="C482" s="120"/>
      <c r="D482" s="120"/>
      <c r="E482" s="120"/>
    </row>
    <row r="483" spans="3:5" ht="12.75" x14ac:dyDescent="0.2">
      <c r="C483" s="120"/>
      <c r="D483" s="120"/>
      <c r="E483" s="120"/>
    </row>
    <row r="484" spans="3:5" ht="12.75" x14ac:dyDescent="0.2">
      <c r="C484" s="120"/>
      <c r="D484" s="120"/>
      <c r="E484" s="120"/>
    </row>
    <row r="485" spans="3:5" ht="12.75" x14ac:dyDescent="0.2">
      <c r="C485" s="120"/>
      <c r="D485" s="120"/>
      <c r="E485" s="120"/>
    </row>
    <row r="486" spans="3:5" ht="12.75" x14ac:dyDescent="0.2">
      <c r="C486" s="120"/>
      <c r="D486" s="120"/>
      <c r="E486" s="120"/>
    </row>
    <row r="487" spans="3:5" ht="12.75" x14ac:dyDescent="0.2">
      <c r="C487" s="120"/>
      <c r="D487" s="120"/>
      <c r="E487" s="120"/>
    </row>
    <row r="488" spans="3:5" ht="12.75" x14ac:dyDescent="0.2">
      <c r="C488" s="120"/>
      <c r="D488" s="120"/>
      <c r="E488" s="120"/>
    </row>
    <row r="489" spans="3:5" ht="12.75" x14ac:dyDescent="0.2">
      <c r="C489" s="120"/>
      <c r="D489" s="120"/>
      <c r="E489" s="120"/>
    </row>
    <row r="490" spans="3:5" ht="12.75" x14ac:dyDescent="0.2">
      <c r="C490" s="120"/>
      <c r="D490" s="120"/>
      <c r="E490" s="120"/>
    </row>
    <row r="491" spans="3:5" ht="12.75" x14ac:dyDescent="0.2">
      <c r="C491" s="120"/>
      <c r="D491" s="120"/>
      <c r="E491" s="120"/>
    </row>
    <row r="492" spans="3:5" ht="12.75" x14ac:dyDescent="0.2">
      <c r="C492" s="120"/>
      <c r="D492" s="120"/>
      <c r="E492" s="120"/>
    </row>
    <row r="493" spans="3:5" ht="12.75" x14ac:dyDescent="0.2">
      <c r="C493" s="120"/>
      <c r="D493" s="120"/>
      <c r="E493" s="120"/>
    </row>
    <row r="494" spans="3:5" ht="12.75" x14ac:dyDescent="0.2">
      <c r="C494" s="120"/>
      <c r="D494" s="120"/>
      <c r="E494" s="120"/>
    </row>
    <row r="495" spans="3:5" ht="12.75" x14ac:dyDescent="0.2">
      <c r="C495" s="120"/>
      <c r="D495" s="120"/>
      <c r="E495" s="120"/>
    </row>
    <row r="496" spans="3:5" ht="12.75" x14ac:dyDescent="0.2">
      <c r="C496" s="120"/>
      <c r="D496" s="120"/>
      <c r="E496" s="120"/>
    </row>
    <row r="497" spans="3:5" ht="12.75" x14ac:dyDescent="0.2">
      <c r="C497" s="120"/>
      <c r="D497" s="120"/>
      <c r="E497" s="120"/>
    </row>
    <row r="498" spans="3:5" ht="12.75" x14ac:dyDescent="0.2">
      <c r="C498" s="120"/>
      <c r="D498" s="120"/>
      <c r="E498" s="120"/>
    </row>
    <row r="499" spans="3:5" ht="12.75" x14ac:dyDescent="0.2">
      <c r="C499" s="120"/>
      <c r="D499" s="120"/>
      <c r="E499" s="120"/>
    </row>
    <row r="500" spans="3:5" ht="12.75" x14ac:dyDescent="0.2">
      <c r="C500" s="120"/>
      <c r="D500" s="120"/>
      <c r="E500" s="120"/>
    </row>
    <row r="501" spans="3:5" ht="12.75" x14ac:dyDescent="0.2">
      <c r="C501" s="120"/>
      <c r="D501" s="120"/>
      <c r="E501" s="120"/>
    </row>
    <row r="502" spans="3:5" ht="12.75" x14ac:dyDescent="0.2">
      <c r="C502" s="120"/>
      <c r="D502" s="120"/>
      <c r="E502" s="120"/>
    </row>
    <row r="503" spans="3:5" ht="12.75" x14ac:dyDescent="0.2">
      <c r="C503" s="120"/>
      <c r="D503" s="120"/>
      <c r="E503" s="120"/>
    </row>
    <row r="504" spans="3:5" ht="12.75" x14ac:dyDescent="0.2">
      <c r="C504" s="120"/>
      <c r="D504" s="120"/>
      <c r="E504" s="120"/>
    </row>
    <row r="505" spans="3:5" ht="12.75" x14ac:dyDescent="0.2">
      <c r="C505" s="120"/>
      <c r="D505" s="120"/>
      <c r="E505" s="120"/>
    </row>
    <row r="506" spans="3:5" ht="12.75" x14ac:dyDescent="0.2">
      <c r="C506" s="120"/>
      <c r="D506" s="120"/>
      <c r="E506" s="120"/>
    </row>
    <row r="507" spans="3:5" ht="12.75" x14ac:dyDescent="0.2">
      <c r="C507" s="120"/>
      <c r="D507" s="120"/>
      <c r="E507" s="120"/>
    </row>
    <row r="508" spans="3:5" ht="12.75" x14ac:dyDescent="0.2">
      <c r="C508" s="120"/>
      <c r="D508" s="120"/>
      <c r="E508" s="120"/>
    </row>
    <row r="509" spans="3:5" ht="12.75" x14ac:dyDescent="0.2">
      <c r="C509" s="120"/>
      <c r="D509" s="120"/>
      <c r="E509" s="120"/>
    </row>
    <row r="510" spans="3:5" ht="12.75" x14ac:dyDescent="0.2">
      <c r="C510" s="120"/>
      <c r="D510" s="120"/>
      <c r="E510" s="120"/>
    </row>
    <row r="511" spans="3:5" ht="12.75" x14ac:dyDescent="0.2">
      <c r="C511" s="120"/>
      <c r="D511" s="120"/>
      <c r="E511" s="120"/>
    </row>
    <row r="512" spans="3:5" ht="12.75" x14ac:dyDescent="0.2">
      <c r="C512" s="120"/>
      <c r="D512" s="120"/>
      <c r="E512" s="120"/>
    </row>
    <row r="513" spans="3:5" ht="12.75" x14ac:dyDescent="0.2">
      <c r="C513" s="120"/>
      <c r="D513" s="120"/>
      <c r="E513" s="120"/>
    </row>
    <row r="514" spans="3:5" ht="12.75" x14ac:dyDescent="0.2">
      <c r="C514" s="120"/>
      <c r="D514" s="120"/>
      <c r="E514" s="120"/>
    </row>
    <row r="515" spans="3:5" ht="12.75" x14ac:dyDescent="0.2">
      <c r="C515" s="120"/>
      <c r="D515" s="120"/>
      <c r="E515" s="120"/>
    </row>
    <row r="516" spans="3:5" ht="12.75" x14ac:dyDescent="0.2">
      <c r="C516" s="120"/>
      <c r="D516" s="120"/>
      <c r="E516" s="120"/>
    </row>
    <row r="517" spans="3:5" ht="12.75" x14ac:dyDescent="0.2">
      <c r="C517" s="120"/>
      <c r="D517" s="120"/>
      <c r="E517" s="120"/>
    </row>
    <row r="518" spans="3:5" ht="12.75" x14ac:dyDescent="0.2">
      <c r="C518" s="120"/>
      <c r="D518" s="120"/>
      <c r="E518" s="120"/>
    </row>
    <row r="519" spans="3:5" ht="12.75" x14ac:dyDescent="0.2">
      <c r="C519" s="120"/>
      <c r="D519" s="120"/>
      <c r="E519" s="120"/>
    </row>
    <row r="520" spans="3:5" ht="12.75" x14ac:dyDescent="0.2">
      <c r="C520" s="120"/>
      <c r="D520" s="120"/>
      <c r="E520" s="120"/>
    </row>
    <row r="521" spans="3:5" ht="12.75" x14ac:dyDescent="0.2">
      <c r="C521" s="120"/>
      <c r="D521" s="120"/>
      <c r="E521" s="120"/>
    </row>
    <row r="522" spans="3:5" ht="12.75" x14ac:dyDescent="0.2">
      <c r="C522" s="120"/>
      <c r="D522" s="120"/>
      <c r="E522" s="120"/>
    </row>
    <row r="523" spans="3:5" ht="12.75" x14ac:dyDescent="0.2">
      <c r="C523" s="120"/>
      <c r="D523" s="120"/>
      <c r="E523" s="120"/>
    </row>
    <row r="524" spans="3:5" ht="12.75" x14ac:dyDescent="0.2">
      <c r="C524" s="120"/>
      <c r="D524" s="120"/>
      <c r="E524" s="120"/>
    </row>
    <row r="525" spans="3:5" ht="12.75" x14ac:dyDescent="0.2">
      <c r="C525" s="120"/>
      <c r="D525" s="120"/>
      <c r="E525" s="120"/>
    </row>
    <row r="526" spans="3:5" ht="12.75" x14ac:dyDescent="0.2">
      <c r="C526" s="120"/>
      <c r="D526" s="120"/>
      <c r="E526" s="120"/>
    </row>
    <row r="527" spans="3:5" ht="12.75" x14ac:dyDescent="0.2">
      <c r="C527" s="120"/>
      <c r="D527" s="120"/>
      <c r="E527" s="120"/>
    </row>
    <row r="528" spans="3:5" ht="12.75" x14ac:dyDescent="0.2">
      <c r="C528" s="120"/>
      <c r="D528" s="120"/>
      <c r="E528" s="120"/>
    </row>
    <row r="529" spans="3:5" ht="12.75" x14ac:dyDescent="0.2">
      <c r="C529" s="120"/>
      <c r="D529" s="120"/>
      <c r="E529" s="120"/>
    </row>
    <row r="530" spans="3:5" ht="12.75" x14ac:dyDescent="0.2">
      <c r="C530" s="120"/>
      <c r="D530" s="120"/>
      <c r="E530" s="120"/>
    </row>
    <row r="531" spans="3:5" ht="12.75" x14ac:dyDescent="0.2">
      <c r="C531" s="120"/>
      <c r="D531" s="120"/>
      <c r="E531" s="120"/>
    </row>
    <row r="532" spans="3:5" ht="12.75" x14ac:dyDescent="0.2">
      <c r="C532" s="120"/>
      <c r="D532" s="120"/>
      <c r="E532" s="120"/>
    </row>
    <row r="533" spans="3:5" ht="12.75" x14ac:dyDescent="0.2">
      <c r="C533" s="120"/>
      <c r="D533" s="120"/>
      <c r="E533" s="120"/>
    </row>
    <row r="534" spans="3:5" ht="12.75" x14ac:dyDescent="0.2">
      <c r="C534" s="120"/>
      <c r="D534" s="120"/>
      <c r="E534" s="120"/>
    </row>
    <row r="535" spans="3:5" ht="12.75" x14ac:dyDescent="0.2">
      <c r="C535" s="120"/>
      <c r="D535" s="120"/>
      <c r="E535" s="120"/>
    </row>
    <row r="536" spans="3:5" ht="12.75" x14ac:dyDescent="0.2">
      <c r="C536" s="120"/>
      <c r="D536" s="120"/>
      <c r="E536" s="120"/>
    </row>
    <row r="537" spans="3:5" ht="12.75" x14ac:dyDescent="0.2">
      <c r="C537" s="120"/>
      <c r="D537" s="120"/>
      <c r="E537" s="120"/>
    </row>
    <row r="538" spans="3:5" ht="12.75" x14ac:dyDescent="0.2">
      <c r="C538" s="120"/>
      <c r="D538" s="120"/>
      <c r="E538" s="120"/>
    </row>
    <row r="539" spans="3:5" ht="12.75" x14ac:dyDescent="0.2">
      <c r="C539" s="120"/>
      <c r="D539" s="120"/>
      <c r="E539" s="120"/>
    </row>
    <row r="540" spans="3:5" ht="12.75" x14ac:dyDescent="0.2">
      <c r="C540" s="120"/>
      <c r="D540" s="120"/>
      <c r="E540" s="120"/>
    </row>
    <row r="541" spans="3:5" ht="12.75" x14ac:dyDescent="0.2">
      <c r="C541" s="120"/>
      <c r="D541" s="120"/>
      <c r="E541" s="120"/>
    </row>
    <row r="542" spans="3:5" ht="12.75" x14ac:dyDescent="0.2">
      <c r="C542" s="120"/>
      <c r="D542" s="120"/>
      <c r="E542" s="120"/>
    </row>
    <row r="543" spans="3:5" ht="12.75" x14ac:dyDescent="0.2">
      <c r="C543" s="120"/>
      <c r="D543" s="120"/>
      <c r="E543" s="120"/>
    </row>
    <row r="544" spans="3:5" ht="12.75" x14ac:dyDescent="0.2">
      <c r="C544" s="120"/>
      <c r="D544" s="120"/>
      <c r="E544" s="120"/>
    </row>
    <row r="545" spans="3:5" ht="12.75" x14ac:dyDescent="0.2">
      <c r="C545" s="120"/>
      <c r="D545" s="120"/>
      <c r="E545" s="120"/>
    </row>
  </sheetData>
  <sheetProtection algorithmName="SHA-512" hashValue="BLYCCHP24yxMGFV/pM/Rq5JMdmJE7kJGY2kIz9wZp4UxMXMctKWZWRGfCSYpBhuZ6WKiZ1p1K6bf8fREO/sVPQ==" saltValue="uHdS87tUH9ybI46bmAy/Kw==" spinCount="100000" sheet="1" objects="1" scenarios="1"/>
  <mergeCells count="5">
    <mergeCell ref="B141:D141"/>
    <mergeCell ref="B3:D3"/>
    <mergeCell ref="B136:D136"/>
    <mergeCell ref="B137:D137"/>
    <mergeCell ref="B140:D140"/>
  </mergeCells>
  <phoneticPr fontId="12" type="noConversion"/>
  <printOptions horizontalCentered="1"/>
  <pageMargins left="0.75" right="0.75" top="0.56000000000000005" bottom="0.85" header="0.5" footer="0.5"/>
  <pageSetup scale="90" fitToHeight="4" orientation="portrait" r:id="rId1"/>
  <headerFooter alignWithMargins="0">
    <oddFooter>&amp;LHawai'i DOH
Fall 2017&amp;CPage &amp;P of &amp;N&amp;R&amp;A</oddFooter>
  </headerFooter>
  <rowBreaks count="2" manualBreakCount="2">
    <brk id="55" max="16383" man="1"/>
    <brk id="8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9"/>
  </sheetPr>
  <dimension ref="A1:X426"/>
  <sheetViews>
    <sheetView zoomScale="90" workbookViewId="0">
      <pane ySplit="2370" topLeftCell="A10" activePane="bottomLeft"/>
      <selection sqref="A1:XFD1048576"/>
      <selection pane="bottomLeft" activeCell="A12" sqref="A12"/>
    </sheetView>
  </sheetViews>
  <sheetFormatPr defaultColWidth="9.140625" defaultRowHeight="11.25" x14ac:dyDescent="0.2"/>
  <cols>
    <col min="1" max="1" width="40.85546875" style="113" customWidth="1"/>
    <col min="2" max="3" width="3.7109375" style="113" customWidth="1"/>
    <col min="4" max="4" width="8.5703125" style="587" customWidth="1"/>
    <col min="5" max="5" width="8.5703125" style="588" hidden="1" customWidth="1"/>
    <col min="6" max="6" width="10.140625" style="113" customWidth="1"/>
    <col min="7" max="8" width="8.7109375" style="113" customWidth="1"/>
    <col min="9" max="10" width="10" style="113" customWidth="1"/>
    <col min="11" max="13" width="11" style="113" customWidth="1"/>
    <col min="14" max="15" width="9.85546875" style="589" customWidth="1"/>
    <col min="16" max="17" width="9.28515625" style="517" customWidth="1"/>
    <col min="18" max="18" width="11.85546875" style="517" customWidth="1"/>
    <col min="19" max="16384" width="9.140625" style="116"/>
  </cols>
  <sheetData>
    <row r="1" spans="1:24" ht="15.75" x14ac:dyDescent="0.25">
      <c r="A1" s="363" t="s">
        <v>498</v>
      </c>
      <c r="B1" s="363"/>
      <c r="C1" s="363"/>
      <c r="D1" s="509"/>
      <c r="E1" s="510"/>
      <c r="F1" s="511"/>
      <c r="G1" s="511"/>
      <c r="H1" s="511"/>
      <c r="I1" s="511"/>
      <c r="J1" s="511"/>
      <c r="K1" s="511"/>
      <c r="L1" s="511"/>
      <c r="M1" s="511"/>
      <c r="N1" s="512"/>
      <c r="O1" s="512"/>
      <c r="P1" s="513"/>
      <c r="Q1" s="513"/>
      <c r="R1" s="513"/>
    </row>
    <row r="2" spans="1:24" ht="21" thickBot="1" x14ac:dyDescent="0.35">
      <c r="A2" s="416" t="s">
        <v>572</v>
      </c>
      <c r="B2" s="71"/>
      <c r="C2" s="71"/>
      <c r="D2" s="514"/>
      <c r="E2" s="79"/>
      <c r="F2" s="514"/>
      <c r="G2" s="71"/>
      <c r="H2" s="71"/>
      <c r="I2" s="71"/>
      <c r="J2" s="71"/>
      <c r="K2" s="71"/>
      <c r="L2" s="71"/>
      <c r="M2" s="515"/>
      <c r="N2" s="516"/>
      <c r="O2" s="516"/>
    </row>
    <row r="3" spans="1:24" ht="12" thickTop="1" x14ac:dyDescent="0.2">
      <c r="A3" s="13"/>
      <c r="B3" s="14"/>
      <c r="C3" s="14"/>
      <c r="D3" s="518"/>
      <c r="E3" s="519"/>
      <c r="F3" s="15"/>
      <c r="G3" s="15"/>
      <c r="H3" s="15"/>
      <c r="I3" s="15"/>
      <c r="J3" s="15"/>
      <c r="K3" s="15"/>
      <c r="L3" s="15"/>
      <c r="M3" s="16"/>
      <c r="N3" s="415"/>
      <c r="O3" s="520"/>
      <c r="P3" s="520"/>
      <c r="Q3" s="520"/>
      <c r="R3" s="521"/>
    </row>
    <row r="4" spans="1:24" x14ac:dyDescent="0.2">
      <c r="A4" s="522"/>
      <c r="B4" s="78"/>
      <c r="C4" s="78"/>
      <c r="D4" s="523"/>
      <c r="E4" s="524"/>
      <c r="F4" s="433" t="s">
        <v>144</v>
      </c>
      <c r="G4" s="433"/>
      <c r="H4" s="433"/>
      <c r="I4" s="433" t="s">
        <v>145</v>
      </c>
      <c r="J4" s="433"/>
      <c r="K4" s="433"/>
      <c r="L4" s="433"/>
      <c r="M4" s="525"/>
      <c r="N4" s="526"/>
      <c r="O4" s="527" t="s">
        <v>146</v>
      </c>
      <c r="P4" s="527" t="s">
        <v>146</v>
      </c>
      <c r="Q4" s="434"/>
      <c r="R4" s="528"/>
    </row>
    <row r="5" spans="1:24" x14ac:dyDescent="0.2">
      <c r="A5" s="522"/>
      <c r="B5" s="78"/>
      <c r="C5" s="78"/>
      <c r="D5" s="523"/>
      <c r="E5" s="524"/>
      <c r="F5" s="433" t="s">
        <v>147</v>
      </c>
      <c r="G5" s="433"/>
      <c r="H5" s="433"/>
      <c r="I5" s="433" t="s">
        <v>148</v>
      </c>
      <c r="J5" s="433"/>
      <c r="K5" s="433"/>
      <c r="L5" s="433"/>
      <c r="M5" s="525" t="s">
        <v>180</v>
      </c>
      <c r="N5" s="526" t="s">
        <v>263</v>
      </c>
      <c r="O5" s="434" t="s">
        <v>264</v>
      </c>
      <c r="P5" s="434" t="s">
        <v>137</v>
      </c>
      <c r="Q5" s="434" t="s">
        <v>142</v>
      </c>
      <c r="R5" s="528" t="s">
        <v>142</v>
      </c>
    </row>
    <row r="6" spans="1:24" x14ac:dyDescent="0.2">
      <c r="A6" s="522"/>
      <c r="B6" s="78"/>
      <c r="C6" s="78"/>
      <c r="D6" s="529"/>
      <c r="E6" s="530"/>
      <c r="F6" s="433" t="s">
        <v>265</v>
      </c>
      <c r="G6" s="433" t="s">
        <v>266</v>
      </c>
      <c r="H6" s="433" t="s">
        <v>266</v>
      </c>
      <c r="I6" s="433" t="s">
        <v>267</v>
      </c>
      <c r="J6" s="433"/>
      <c r="K6" s="433" t="s">
        <v>268</v>
      </c>
      <c r="L6" s="433" t="s">
        <v>268</v>
      </c>
      <c r="M6" s="525" t="s">
        <v>269</v>
      </c>
      <c r="N6" s="526" t="s">
        <v>269</v>
      </c>
      <c r="O6" s="434" t="s">
        <v>270</v>
      </c>
      <c r="P6" s="434" t="s">
        <v>270</v>
      </c>
      <c r="Q6" s="434" t="s">
        <v>271</v>
      </c>
      <c r="R6" s="528" t="s">
        <v>138</v>
      </c>
    </row>
    <row r="7" spans="1:24" ht="12" thickBot="1" x14ac:dyDescent="0.25">
      <c r="A7" s="522"/>
      <c r="B7" s="78"/>
      <c r="C7" s="78"/>
      <c r="D7" s="529"/>
      <c r="E7" s="530" t="s">
        <v>299</v>
      </c>
      <c r="F7" s="433" t="s">
        <v>272</v>
      </c>
      <c r="G7" s="433" t="s">
        <v>273</v>
      </c>
      <c r="H7" s="433" t="s">
        <v>274</v>
      </c>
      <c r="I7" s="433" t="s">
        <v>275</v>
      </c>
      <c r="J7" s="434" t="s">
        <v>547</v>
      </c>
      <c r="K7" s="433" t="s">
        <v>276</v>
      </c>
      <c r="L7" s="433" t="s">
        <v>276</v>
      </c>
      <c r="M7" s="525" t="s">
        <v>270</v>
      </c>
      <c r="N7" s="526" t="s">
        <v>270</v>
      </c>
      <c r="O7" s="434" t="s">
        <v>277</v>
      </c>
      <c r="P7" s="434" t="s">
        <v>82</v>
      </c>
      <c r="Q7" s="434" t="s">
        <v>277</v>
      </c>
      <c r="R7" s="528" t="s">
        <v>82</v>
      </c>
    </row>
    <row r="8" spans="1:24" x14ac:dyDescent="0.2">
      <c r="A8" s="522"/>
      <c r="B8" s="531" t="s">
        <v>278</v>
      </c>
      <c r="C8" s="532"/>
      <c r="D8" s="529" t="s">
        <v>279</v>
      </c>
      <c r="E8" s="530" t="s">
        <v>279</v>
      </c>
      <c r="F8" s="433" t="s">
        <v>280</v>
      </c>
      <c r="G8" s="433" t="s">
        <v>281</v>
      </c>
      <c r="H8" s="433" t="s">
        <v>282</v>
      </c>
      <c r="I8" s="433" t="s">
        <v>283</v>
      </c>
      <c r="J8" s="434" t="s">
        <v>548</v>
      </c>
      <c r="K8" s="433" t="s">
        <v>284</v>
      </c>
      <c r="L8" s="433" t="s">
        <v>285</v>
      </c>
      <c r="M8" s="525" t="s">
        <v>179</v>
      </c>
      <c r="N8" s="526" t="s">
        <v>286</v>
      </c>
      <c r="O8" s="434" t="s">
        <v>287</v>
      </c>
      <c r="P8" s="434" t="s">
        <v>83</v>
      </c>
      <c r="Q8" s="434" t="s">
        <v>288</v>
      </c>
      <c r="R8" s="528" t="s">
        <v>139</v>
      </c>
    </row>
    <row r="9" spans="1:24" s="131" customFormat="1" ht="12" thickBot="1" x14ac:dyDescent="0.25">
      <c r="A9" s="533" t="s">
        <v>133</v>
      </c>
      <c r="B9" s="534" t="s">
        <v>289</v>
      </c>
      <c r="C9" s="535"/>
      <c r="D9" s="536" t="s">
        <v>290</v>
      </c>
      <c r="E9" s="537" t="s">
        <v>290</v>
      </c>
      <c r="F9" s="538" t="s">
        <v>291</v>
      </c>
      <c r="G9" s="538" t="s">
        <v>292</v>
      </c>
      <c r="H9" s="538" t="s">
        <v>292</v>
      </c>
      <c r="I9" s="538" t="s">
        <v>293</v>
      </c>
      <c r="J9" s="435" t="s">
        <v>549</v>
      </c>
      <c r="K9" s="538" t="s">
        <v>294</v>
      </c>
      <c r="L9" s="538" t="s">
        <v>295</v>
      </c>
      <c r="M9" s="539" t="s">
        <v>295</v>
      </c>
      <c r="N9" s="540" t="s">
        <v>295</v>
      </c>
      <c r="O9" s="435" t="s">
        <v>573</v>
      </c>
      <c r="P9" s="435" t="s">
        <v>574</v>
      </c>
      <c r="Q9" s="435" t="s">
        <v>296</v>
      </c>
      <c r="R9" s="541" t="s">
        <v>575</v>
      </c>
    </row>
    <row r="10" spans="1:24" s="131" customFormat="1" ht="12" customHeight="1" x14ac:dyDescent="0.2">
      <c r="A10" s="66" t="s">
        <v>395</v>
      </c>
      <c r="B10" s="542" t="s">
        <v>576</v>
      </c>
      <c r="C10" s="161" t="s">
        <v>283</v>
      </c>
      <c r="D10" s="543">
        <v>154</v>
      </c>
      <c r="E10" s="137">
        <v>154</v>
      </c>
      <c r="F10" s="544">
        <v>5027</v>
      </c>
      <c r="G10" s="544">
        <v>5.0999999999999997E-2</v>
      </c>
      <c r="H10" s="544">
        <v>8.3000000000000002E-6</v>
      </c>
      <c r="I10" s="544">
        <v>3.9</v>
      </c>
      <c r="J10" s="544">
        <v>2.2000000000000001E-3</v>
      </c>
      <c r="K10" s="544">
        <v>1.8000000000000001E-4</v>
      </c>
      <c r="L10" s="544">
        <v>7.4999999999999997E-3</v>
      </c>
      <c r="M10" s="545">
        <v>1</v>
      </c>
      <c r="N10" s="546">
        <v>0.13</v>
      </c>
      <c r="O10" s="547" t="s">
        <v>537</v>
      </c>
      <c r="P10" s="547" t="s">
        <v>537</v>
      </c>
      <c r="Q10" s="547">
        <v>0.06</v>
      </c>
      <c r="R10" s="548">
        <v>0.24</v>
      </c>
      <c r="X10" s="438"/>
    </row>
    <row r="11" spans="1:24" s="131" customFormat="1" ht="12" customHeight="1" x14ac:dyDescent="0.2">
      <c r="A11" s="66" t="s">
        <v>396</v>
      </c>
      <c r="B11" s="549" t="s">
        <v>576</v>
      </c>
      <c r="C11" s="164" t="s">
        <v>283</v>
      </c>
      <c r="D11" s="543">
        <v>152</v>
      </c>
      <c r="E11" s="63">
        <v>152</v>
      </c>
      <c r="F11" s="550">
        <v>2500</v>
      </c>
      <c r="G11" s="550">
        <v>6.08E-2</v>
      </c>
      <c r="H11" s="550">
        <v>7.8800000000000008E-6</v>
      </c>
      <c r="I11" s="550">
        <v>3.93</v>
      </c>
      <c r="J11" s="550">
        <v>9.1200000000000005E-4</v>
      </c>
      <c r="K11" s="550">
        <v>1.4499999999999999E-3</v>
      </c>
      <c r="L11" s="550">
        <v>5.9499999999999997E-2</v>
      </c>
      <c r="M11" s="551">
        <v>1</v>
      </c>
      <c r="N11" s="552">
        <v>0.13</v>
      </c>
      <c r="O11" s="553" t="s">
        <v>537</v>
      </c>
      <c r="P11" s="553" t="s">
        <v>537</v>
      </c>
      <c r="Q11" s="553">
        <v>0.04</v>
      </c>
      <c r="R11" s="554">
        <v>0.16</v>
      </c>
      <c r="X11" s="438"/>
    </row>
    <row r="12" spans="1:24" s="131" customFormat="1" ht="12" customHeight="1" x14ac:dyDescent="0.2">
      <c r="A12" s="66" t="s">
        <v>397</v>
      </c>
      <c r="B12" s="549" t="s">
        <v>576</v>
      </c>
      <c r="C12" s="164" t="s">
        <v>297</v>
      </c>
      <c r="D12" s="543">
        <v>58</v>
      </c>
      <c r="E12" s="31">
        <v>58.08</v>
      </c>
      <c r="F12" s="555">
        <v>2.6</v>
      </c>
      <c r="G12" s="555">
        <v>0.11</v>
      </c>
      <c r="H12" s="555">
        <v>1.1E-5</v>
      </c>
      <c r="I12" s="555">
        <v>1000000</v>
      </c>
      <c r="J12" s="555">
        <v>231.5</v>
      </c>
      <c r="K12" s="555">
        <v>3.8999999999999999E-5</v>
      </c>
      <c r="L12" s="555">
        <v>1.6000000000000001E-3</v>
      </c>
      <c r="M12" s="551">
        <v>1</v>
      </c>
      <c r="N12" s="552" t="s">
        <v>537</v>
      </c>
      <c r="O12" s="553" t="s">
        <v>537</v>
      </c>
      <c r="P12" s="553" t="s">
        <v>537</v>
      </c>
      <c r="Q12" s="553">
        <v>0.9</v>
      </c>
      <c r="R12" s="554">
        <v>31</v>
      </c>
      <c r="X12" s="438"/>
    </row>
    <row r="13" spans="1:24" s="131" customFormat="1" ht="12" customHeight="1" x14ac:dyDescent="0.2">
      <c r="A13" s="66" t="s">
        <v>398</v>
      </c>
      <c r="B13" s="556" t="s">
        <v>577</v>
      </c>
      <c r="C13" s="164" t="s">
        <v>283</v>
      </c>
      <c r="D13" s="543">
        <v>365</v>
      </c>
      <c r="E13" s="31">
        <v>364.92</v>
      </c>
      <c r="F13" s="555">
        <v>82020</v>
      </c>
      <c r="G13" s="555">
        <v>2.3E-2</v>
      </c>
      <c r="H13" s="555">
        <v>5.8000000000000004E-6</v>
      </c>
      <c r="I13" s="555">
        <v>1.7000000000000001E-2</v>
      </c>
      <c r="J13" s="555">
        <v>1.2E-4</v>
      </c>
      <c r="K13" s="555">
        <v>4.3999999999999999E-5</v>
      </c>
      <c r="L13" s="555">
        <v>1.8E-3</v>
      </c>
      <c r="M13" s="551">
        <v>1</v>
      </c>
      <c r="N13" s="552" t="s">
        <v>537</v>
      </c>
      <c r="O13" s="553">
        <v>3.4</v>
      </c>
      <c r="P13" s="553">
        <v>4.8999999999999998E-3</v>
      </c>
      <c r="Q13" s="553">
        <v>1E-4</v>
      </c>
      <c r="R13" s="554" t="s">
        <v>537</v>
      </c>
      <c r="X13" s="438"/>
    </row>
    <row r="14" spans="1:24" ht="12" customHeight="1" x14ac:dyDescent="0.2">
      <c r="A14" s="66" t="s">
        <v>84</v>
      </c>
      <c r="B14" s="549" t="s">
        <v>298</v>
      </c>
      <c r="C14" s="164" t="s">
        <v>283</v>
      </c>
      <c r="D14" s="543">
        <v>227</v>
      </c>
      <c r="E14" s="31">
        <v>227.33</v>
      </c>
      <c r="F14" s="555">
        <v>428.2</v>
      </c>
      <c r="G14" s="555">
        <v>5.0999999999999997E-2</v>
      </c>
      <c r="H14" s="555">
        <v>6.0000000000000002E-6</v>
      </c>
      <c r="I14" s="555">
        <v>209</v>
      </c>
      <c r="J14" s="555">
        <v>2.7E-6</v>
      </c>
      <c r="K14" s="555">
        <v>2.4E-9</v>
      </c>
      <c r="L14" s="555">
        <v>9.9E-8</v>
      </c>
      <c r="M14" s="551">
        <v>1</v>
      </c>
      <c r="N14" s="552">
        <v>0.1</v>
      </c>
      <c r="O14" s="553" t="s">
        <v>537</v>
      </c>
      <c r="P14" s="553" t="s">
        <v>537</v>
      </c>
      <c r="Q14" s="553">
        <v>8.9999999999999993E-3</v>
      </c>
      <c r="R14" s="557" t="s">
        <v>537</v>
      </c>
      <c r="X14" s="438"/>
    </row>
    <row r="15" spans="1:24" ht="11.25" customHeight="1" x14ac:dyDescent="0.2">
      <c r="A15" s="66" t="s">
        <v>85</v>
      </c>
      <c r="B15" s="549" t="s">
        <v>298</v>
      </c>
      <c r="C15" s="164" t="s">
        <v>283</v>
      </c>
      <c r="D15" s="543">
        <v>197</v>
      </c>
      <c r="E15" s="31">
        <v>197.15</v>
      </c>
      <c r="F15" s="555">
        <v>283</v>
      </c>
      <c r="G15" s="555">
        <v>5.6000000000000001E-2</v>
      </c>
      <c r="H15" s="555">
        <v>6.6000000000000003E-6</v>
      </c>
      <c r="I15" s="555">
        <v>1220</v>
      </c>
      <c r="J15" s="555">
        <v>1.1E-5</v>
      </c>
      <c r="K15" s="555">
        <v>3.3000000000000002E-11</v>
      </c>
      <c r="L15" s="555">
        <v>1.3000000000000001E-9</v>
      </c>
      <c r="M15" s="551">
        <v>1</v>
      </c>
      <c r="N15" s="552">
        <v>6.0000000000000001E-3</v>
      </c>
      <c r="O15" s="553" t="s">
        <v>537</v>
      </c>
      <c r="P15" s="553" t="s">
        <v>537</v>
      </c>
      <c r="Q15" s="553">
        <v>2E-3</v>
      </c>
      <c r="R15" s="557" t="s">
        <v>537</v>
      </c>
      <c r="X15" s="438"/>
    </row>
    <row r="16" spans="1:24" ht="11.25" customHeight="1" x14ac:dyDescent="0.2">
      <c r="A16" s="66" t="s">
        <v>363</v>
      </c>
      <c r="B16" s="549" t="s">
        <v>298</v>
      </c>
      <c r="C16" s="164" t="s">
        <v>283</v>
      </c>
      <c r="D16" s="543">
        <v>197</v>
      </c>
      <c r="E16" s="31">
        <v>197.15</v>
      </c>
      <c r="F16" s="555">
        <v>283</v>
      </c>
      <c r="G16" s="555">
        <v>5.6000000000000001E-2</v>
      </c>
      <c r="H16" s="555">
        <v>6.6000000000000003E-6</v>
      </c>
      <c r="I16" s="555">
        <v>1220</v>
      </c>
      <c r="J16" s="555">
        <v>1.1E-5</v>
      </c>
      <c r="K16" s="555">
        <v>3.3000000000000002E-11</v>
      </c>
      <c r="L16" s="555">
        <v>1.3000000000000001E-9</v>
      </c>
      <c r="M16" s="551">
        <v>1</v>
      </c>
      <c r="N16" s="552">
        <v>8.9999999999999993E-3</v>
      </c>
      <c r="O16" s="553" t="s">
        <v>537</v>
      </c>
      <c r="P16" s="553" t="s">
        <v>537</v>
      </c>
      <c r="Q16" s="553">
        <v>2E-3</v>
      </c>
      <c r="R16" s="557" t="s">
        <v>537</v>
      </c>
      <c r="X16" s="438"/>
    </row>
    <row r="17" spans="1:24" ht="11.25" customHeight="1" x14ac:dyDescent="0.2">
      <c r="A17" s="66" t="s">
        <v>399</v>
      </c>
      <c r="B17" s="549" t="s">
        <v>576</v>
      </c>
      <c r="C17" s="164" t="s">
        <v>283</v>
      </c>
      <c r="D17" s="543">
        <v>178</v>
      </c>
      <c r="E17" s="31">
        <v>178.24</v>
      </c>
      <c r="F17" s="555">
        <v>16360</v>
      </c>
      <c r="G17" s="555">
        <v>3.9E-2</v>
      </c>
      <c r="H17" s="555">
        <v>7.9000000000000006E-6</v>
      </c>
      <c r="I17" s="555">
        <v>4.2999999999999997E-2</v>
      </c>
      <c r="J17" s="555">
        <v>6.4999999999999996E-6</v>
      </c>
      <c r="K17" s="555">
        <v>5.5999999999999999E-5</v>
      </c>
      <c r="L17" s="555">
        <v>2.3E-3</v>
      </c>
      <c r="M17" s="551">
        <v>1</v>
      </c>
      <c r="N17" s="552">
        <v>0.13</v>
      </c>
      <c r="O17" s="553" t="s">
        <v>537</v>
      </c>
      <c r="P17" s="553" t="s">
        <v>537</v>
      </c>
      <c r="Q17" s="553">
        <v>0.3</v>
      </c>
      <c r="R17" s="554">
        <v>1.2</v>
      </c>
      <c r="X17" s="438"/>
    </row>
    <row r="18" spans="1:24" ht="11.25" customHeight="1" x14ac:dyDescent="0.2">
      <c r="A18" s="66" t="s">
        <v>400</v>
      </c>
      <c r="B18" s="549" t="s">
        <v>298</v>
      </c>
      <c r="C18" s="164" t="s">
        <v>283</v>
      </c>
      <c r="D18" s="543">
        <v>122</v>
      </c>
      <c r="E18" s="31">
        <v>124.78</v>
      </c>
      <c r="F18" s="555" t="s">
        <v>537</v>
      </c>
      <c r="G18" s="555" t="s">
        <v>537</v>
      </c>
      <c r="H18" s="555" t="s">
        <v>537</v>
      </c>
      <c r="I18" s="555" t="s">
        <v>537</v>
      </c>
      <c r="J18" s="555" t="s">
        <v>537</v>
      </c>
      <c r="K18" s="555" t="s">
        <v>537</v>
      </c>
      <c r="L18" s="555" t="s">
        <v>537</v>
      </c>
      <c r="M18" s="552">
        <v>0.15</v>
      </c>
      <c r="N18" s="552" t="s">
        <v>537</v>
      </c>
      <c r="O18" s="553" t="s">
        <v>537</v>
      </c>
      <c r="P18" s="553" t="s">
        <v>537</v>
      </c>
      <c r="Q18" s="553">
        <v>4.0000000000000002E-4</v>
      </c>
      <c r="R18" s="557" t="s">
        <v>537</v>
      </c>
      <c r="X18" s="438"/>
    </row>
    <row r="19" spans="1:24" ht="11.25" customHeight="1" x14ac:dyDescent="0.2">
      <c r="A19" s="66" t="s">
        <v>401</v>
      </c>
      <c r="B19" s="549" t="s">
        <v>298</v>
      </c>
      <c r="C19" s="164" t="s">
        <v>283</v>
      </c>
      <c r="D19" s="543">
        <v>75</v>
      </c>
      <c r="E19" s="31">
        <v>77.95</v>
      </c>
      <c r="F19" s="555" t="s">
        <v>537</v>
      </c>
      <c r="G19" s="555" t="s">
        <v>537</v>
      </c>
      <c r="H19" s="555" t="s">
        <v>537</v>
      </c>
      <c r="I19" s="555" t="s">
        <v>537</v>
      </c>
      <c r="J19" s="555" t="s">
        <v>550</v>
      </c>
      <c r="K19" s="555" t="s">
        <v>537</v>
      </c>
      <c r="L19" s="555" t="s">
        <v>537</v>
      </c>
      <c r="M19" s="551">
        <v>1</v>
      </c>
      <c r="N19" s="552">
        <v>0.03</v>
      </c>
      <c r="O19" s="553">
        <v>1.5</v>
      </c>
      <c r="P19" s="553">
        <v>4.3E-3</v>
      </c>
      <c r="Q19" s="553">
        <v>2.9999999999999997E-4</v>
      </c>
      <c r="R19" s="554">
        <v>1.5E-5</v>
      </c>
      <c r="X19" s="438"/>
    </row>
    <row r="20" spans="1:24" ht="11.25" customHeight="1" x14ac:dyDescent="0.2">
      <c r="A20" s="66" t="s">
        <v>364</v>
      </c>
      <c r="B20" s="549" t="s">
        <v>298</v>
      </c>
      <c r="C20" s="164" t="s">
        <v>283</v>
      </c>
      <c r="D20" s="543">
        <v>216</v>
      </c>
      <c r="E20" s="31">
        <v>215.69</v>
      </c>
      <c r="F20" s="555">
        <v>224.5</v>
      </c>
      <c r="G20" s="555">
        <v>2.5999999999999999E-2</v>
      </c>
      <c r="H20" s="555">
        <v>6.8000000000000001E-6</v>
      </c>
      <c r="I20" s="555">
        <v>35</v>
      </c>
      <c r="J20" s="555">
        <v>2.8999999999999998E-7</v>
      </c>
      <c r="K20" s="555">
        <v>2.4E-9</v>
      </c>
      <c r="L20" s="555">
        <v>9.5999999999999999E-8</v>
      </c>
      <c r="M20" s="551">
        <v>1</v>
      </c>
      <c r="N20" s="552">
        <v>0.1</v>
      </c>
      <c r="O20" s="553">
        <v>0.23</v>
      </c>
      <c r="P20" s="553" t="s">
        <v>537</v>
      </c>
      <c r="Q20" s="553">
        <v>3.5000000000000003E-2</v>
      </c>
      <c r="R20" s="557" t="s">
        <v>537</v>
      </c>
      <c r="X20" s="438"/>
    </row>
    <row r="21" spans="1:24" ht="11.25" customHeight="1" x14ac:dyDescent="0.2">
      <c r="A21" s="66" t="s">
        <v>402</v>
      </c>
      <c r="B21" s="549" t="s">
        <v>298</v>
      </c>
      <c r="C21" s="164" t="s">
        <v>283</v>
      </c>
      <c r="D21" s="558">
        <v>137</v>
      </c>
      <c r="E21" s="31">
        <v>137.33000000000001</v>
      </c>
      <c r="F21" s="555" t="s">
        <v>537</v>
      </c>
      <c r="G21" s="555" t="s">
        <v>537</v>
      </c>
      <c r="H21" s="555" t="s">
        <v>537</v>
      </c>
      <c r="I21" s="555" t="s">
        <v>537</v>
      </c>
      <c r="J21" s="555" t="s">
        <v>550</v>
      </c>
      <c r="K21" s="555" t="s">
        <v>537</v>
      </c>
      <c r="L21" s="555" t="s">
        <v>537</v>
      </c>
      <c r="M21" s="552">
        <v>7.0000000000000007E-2</v>
      </c>
      <c r="N21" s="552" t="s">
        <v>537</v>
      </c>
      <c r="O21" s="553" t="s">
        <v>537</v>
      </c>
      <c r="P21" s="553" t="s">
        <v>537</v>
      </c>
      <c r="Q21" s="553">
        <v>0.2</v>
      </c>
      <c r="R21" s="554">
        <v>5.0000000000000001E-4</v>
      </c>
      <c r="X21" s="438"/>
    </row>
    <row r="22" spans="1:24" ht="11.25" customHeight="1" x14ac:dyDescent="0.2">
      <c r="A22" s="66" t="s">
        <v>538</v>
      </c>
      <c r="B22" s="549" t="s">
        <v>298</v>
      </c>
      <c r="C22" s="164" t="s">
        <v>283</v>
      </c>
      <c r="D22" s="558">
        <v>230</v>
      </c>
      <c r="E22" s="31">
        <v>230</v>
      </c>
      <c r="F22" s="555">
        <v>336.2</v>
      </c>
      <c r="G22" s="555">
        <v>4.3334699999999997E-2</v>
      </c>
      <c r="H22" s="555">
        <v>5.0633000000000003E-6</v>
      </c>
      <c r="I22" s="555">
        <v>3.8</v>
      </c>
      <c r="J22" s="555">
        <v>3.7E-9</v>
      </c>
      <c r="K22" s="555">
        <v>4.9300000000000002E-12</v>
      </c>
      <c r="L22" s="555">
        <v>2.16E-10</v>
      </c>
      <c r="M22" s="552">
        <v>1</v>
      </c>
      <c r="N22" s="552">
        <v>0.1</v>
      </c>
      <c r="O22" s="553" t="s">
        <v>537</v>
      </c>
      <c r="P22" s="553" t="s">
        <v>537</v>
      </c>
      <c r="Q22" s="553">
        <v>0.05</v>
      </c>
      <c r="R22" s="554" t="s">
        <v>537</v>
      </c>
      <c r="X22" s="438"/>
    </row>
    <row r="23" spans="1:24" ht="11.25" customHeight="1" x14ac:dyDescent="0.2">
      <c r="A23" s="66" t="s">
        <v>403</v>
      </c>
      <c r="B23" s="549" t="s">
        <v>576</v>
      </c>
      <c r="C23" s="164" t="s">
        <v>297</v>
      </c>
      <c r="D23" s="543">
        <v>78</v>
      </c>
      <c r="E23" s="31">
        <v>78.11</v>
      </c>
      <c r="F23" s="555">
        <v>150</v>
      </c>
      <c r="G23" s="555">
        <v>0.09</v>
      </c>
      <c r="H23" s="555">
        <v>1.0000000000000001E-5</v>
      </c>
      <c r="I23" s="555">
        <v>1790</v>
      </c>
      <c r="J23" s="555">
        <v>94.8</v>
      </c>
      <c r="K23" s="555">
        <v>5.5999999999999999E-3</v>
      </c>
      <c r="L23" s="555">
        <v>0.25</v>
      </c>
      <c r="M23" s="551">
        <v>1</v>
      </c>
      <c r="N23" s="552" t="s">
        <v>537</v>
      </c>
      <c r="O23" s="553">
        <v>5.5E-2</v>
      </c>
      <c r="P23" s="553">
        <v>7.7999999999999999E-6</v>
      </c>
      <c r="Q23" s="553">
        <v>4.0000000000000001E-3</v>
      </c>
      <c r="R23" s="554">
        <v>0.03</v>
      </c>
      <c r="X23" s="438"/>
    </row>
    <row r="24" spans="1:24" ht="11.25" customHeight="1" x14ac:dyDescent="0.2">
      <c r="A24" s="66" t="s">
        <v>404</v>
      </c>
      <c r="B24" s="549" t="s">
        <v>577</v>
      </c>
      <c r="C24" s="164" t="s">
        <v>283</v>
      </c>
      <c r="D24" s="543">
        <v>228</v>
      </c>
      <c r="E24" s="31">
        <v>228.3</v>
      </c>
      <c r="F24" s="555">
        <v>176900</v>
      </c>
      <c r="G24" s="555">
        <v>2.5999999999999999E-2</v>
      </c>
      <c r="H24" s="555">
        <v>6.7000000000000002E-6</v>
      </c>
      <c r="I24" s="555">
        <v>9.4000000000000004E-3</v>
      </c>
      <c r="J24" s="555">
        <v>2.1E-7</v>
      </c>
      <c r="K24" s="555">
        <v>1.2E-5</v>
      </c>
      <c r="L24" s="555">
        <v>4.8999999999999998E-4</v>
      </c>
      <c r="M24" s="551">
        <v>1</v>
      </c>
      <c r="N24" s="552">
        <v>0.13</v>
      </c>
      <c r="O24" s="559">
        <v>0.1</v>
      </c>
      <c r="P24" s="559">
        <v>6.0000000000000002E-5</v>
      </c>
      <c r="Q24" s="553" t="s">
        <v>537</v>
      </c>
      <c r="R24" s="557" t="s">
        <v>537</v>
      </c>
      <c r="X24" s="438"/>
    </row>
    <row r="25" spans="1:24" ht="11.25" customHeight="1" x14ac:dyDescent="0.2">
      <c r="A25" s="66" t="s">
        <v>405</v>
      </c>
      <c r="B25" s="549" t="s">
        <v>298</v>
      </c>
      <c r="C25" s="164" t="s">
        <v>283</v>
      </c>
      <c r="D25" s="543">
        <v>252</v>
      </c>
      <c r="E25" s="31">
        <v>252.32</v>
      </c>
      <c r="F25" s="555">
        <v>587400</v>
      </c>
      <c r="G25" s="555">
        <v>4.8000000000000001E-2</v>
      </c>
      <c r="H25" s="555">
        <v>5.5999999999999997E-6</v>
      </c>
      <c r="I25" s="555">
        <v>1.6000000000000001E-3</v>
      </c>
      <c r="J25" s="555">
        <v>5.4999999999999996E-9</v>
      </c>
      <c r="K25" s="555">
        <v>4.5999999999999999E-7</v>
      </c>
      <c r="L25" s="555">
        <v>1.9000000000000001E-5</v>
      </c>
      <c r="M25" s="551">
        <v>1</v>
      </c>
      <c r="N25" s="552">
        <v>0.13</v>
      </c>
      <c r="O25" s="559">
        <v>1</v>
      </c>
      <c r="P25" s="559">
        <v>5.9999999999999995E-4</v>
      </c>
      <c r="Q25" s="559">
        <v>2.9999999999999997E-4</v>
      </c>
      <c r="R25" s="560">
        <v>1.9999999999999999E-6</v>
      </c>
      <c r="X25" s="438"/>
    </row>
    <row r="26" spans="1:24" ht="11.25" customHeight="1" x14ac:dyDescent="0.2">
      <c r="A26" s="66" t="s">
        <v>406</v>
      </c>
      <c r="B26" s="549" t="s">
        <v>298</v>
      </c>
      <c r="C26" s="164" t="s">
        <v>283</v>
      </c>
      <c r="D26" s="543">
        <v>252</v>
      </c>
      <c r="E26" s="31">
        <v>252.32</v>
      </c>
      <c r="F26" s="555">
        <v>599400</v>
      </c>
      <c r="G26" s="555">
        <v>4.8000000000000001E-2</v>
      </c>
      <c r="H26" s="555">
        <v>5.5999999999999997E-6</v>
      </c>
      <c r="I26" s="555">
        <v>1.5E-3</v>
      </c>
      <c r="J26" s="555">
        <v>4.9999999999999998E-7</v>
      </c>
      <c r="K26" s="555">
        <v>6.6000000000000003E-7</v>
      </c>
      <c r="L26" s="555">
        <v>2.6999999999999999E-5</v>
      </c>
      <c r="M26" s="551">
        <v>1</v>
      </c>
      <c r="N26" s="552">
        <v>0.13</v>
      </c>
      <c r="O26" s="559">
        <v>0.1</v>
      </c>
      <c r="P26" s="559">
        <v>6.0000000000000002E-5</v>
      </c>
      <c r="Q26" s="553" t="s">
        <v>537</v>
      </c>
      <c r="R26" s="557" t="s">
        <v>537</v>
      </c>
      <c r="X26" s="438"/>
    </row>
    <row r="27" spans="1:24" ht="11.25" customHeight="1" x14ac:dyDescent="0.2">
      <c r="A27" s="66" t="s">
        <v>407</v>
      </c>
      <c r="B27" s="549" t="s">
        <v>298</v>
      </c>
      <c r="C27" s="164" t="s">
        <v>283</v>
      </c>
      <c r="D27" s="558">
        <v>276</v>
      </c>
      <c r="E27" s="63">
        <v>276</v>
      </c>
      <c r="F27" s="555">
        <v>1600000</v>
      </c>
      <c r="G27" s="555">
        <v>4.8000000000000001E-2</v>
      </c>
      <c r="H27" s="555">
        <v>5.5999999999999997E-6</v>
      </c>
      <c r="I27" s="550">
        <v>2.5999999999999998E-4</v>
      </c>
      <c r="J27" s="550">
        <v>1E-10</v>
      </c>
      <c r="K27" s="555">
        <v>1.4399999999999999E-7</v>
      </c>
      <c r="L27" s="550">
        <v>5.9000000000000003E-6</v>
      </c>
      <c r="M27" s="551">
        <v>1</v>
      </c>
      <c r="N27" s="552">
        <v>0.13</v>
      </c>
      <c r="O27" s="553" t="s">
        <v>537</v>
      </c>
      <c r="P27" s="553" t="s">
        <v>537</v>
      </c>
      <c r="Q27" s="553">
        <v>0.04</v>
      </c>
      <c r="R27" s="557" t="s">
        <v>537</v>
      </c>
      <c r="X27" s="438"/>
    </row>
    <row r="28" spans="1:24" ht="11.25" customHeight="1" x14ac:dyDescent="0.2">
      <c r="A28" s="66" t="s">
        <v>408</v>
      </c>
      <c r="B28" s="549" t="s">
        <v>298</v>
      </c>
      <c r="C28" s="164" t="s">
        <v>283</v>
      </c>
      <c r="D28" s="543">
        <v>252</v>
      </c>
      <c r="E28" s="31">
        <v>252.32</v>
      </c>
      <c r="F28" s="555">
        <v>587400</v>
      </c>
      <c r="G28" s="555">
        <v>4.8000000000000001E-2</v>
      </c>
      <c r="H28" s="555">
        <v>5.5999999999999997E-6</v>
      </c>
      <c r="I28" s="555">
        <v>8.0000000000000004E-4</v>
      </c>
      <c r="J28" s="555">
        <v>9.6999999999999996E-10</v>
      </c>
      <c r="K28" s="555">
        <v>5.7999999999999995E-7</v>
      </c>
      <c r="L28" s="555">
        <v>2.4000000000000001E-5</v>
      </c>
      <c r="M28" s="551">
        <v>1</v>
      </c>
      <c r="N28" s="552">
        <v>0.13</v>
      </c>
      <c r="O28" s="559">
        <v>0.01</v>
      </c>
      <c r="P28" s="559">
        <v>6.0000000000000002E-6</v>
      </c>
      <c r="Q28" s="553" t="s">
        <v>537</v>
      </c>
      <c r="R28" s="557" t="s">
        <v>537</v>
      </c>
      <c r="X28" s="438"/>
    </row>
    <row r="29" spans="1:24" ht="11.25" customHeight="1" x14ac:dyDescent="0.2">
      <c r="A29" s="66" t="s">
        <v>91</v>
      </c>
      <c r="B29" s="549" t="s">
        <v>298</v>
      </c>
      <c r="C29" s="164" t="s">
        <v>283</v>
      </c>
      <c r="D29" s="543">
        <v>9</v>
      </c>
      <c r="E29" s="31">
        <v>9.01</v>
      </c>
      <c r="F29" s="555" t="s">
        <v>537</v>
      </c>
      <c r="G29" s="555" t="s">
        <v>537</v>
      </c>
      <c r="H29" s="555" t="s">
        <v>537</v>
      </c>
      <c r="I29" s="555" t="s">
        <v>537</v>
      </c>
      <c r="J29" s="555" t="s">
        <v>537</v>
      </c>
      <c r="K29" s="555" t="s">
        <v>537</v>
      </c>
      <c r="L29" s="555" t="s">
        <v>537</v>
      </c>
      <c r="M29" s="552">
        <v>7.0000000000000001E-3</v>
      </c>
      <c r="N29" s="552" t="s">
        <v>537</v>
      </c>
      <c r="O29" s="553" t="s">
        <v>537</v>
      </c>
      <c r="P29" s="553">
        <v>2.3999999999999998E-3</v>
      </c>
      <c r="Q29" s="553">
        <v>2E-3</v>
      </c>
      <c r="R29" s="554">
        <v>2.0000000000000002E-5</v>
      </c>
      <c r="X29" s="438"/>
    </row>
    <row r="30" spans="1:24" ht="11.25" customHeight="1" x14ac:dyDescent="0.2">
      <c r="A30" s="66" t="s">
        <v>134</v>
      </c>
      <c r="B30" s="549" t="s">
        <v>576</v>
      </c>
      <c r="C30" s="164" t="s">
        <v>283</v>
      </c>
      <c r="D30" s="543">
        <v>154</v>
      </c>
      <c r="E30" s="31">
        <v>154.21</v>
      </c>
      <c r="F30" s="555">
        <v>5129</v>
      </c>
      <c r="G30" s="555">
        <v>4.7E-2</v>
      </c>
      <c r="H30" s="555">
        <v>7.6000000000000001E-6</v>
      </c>
      <c r="I30" s="555">
        <v>7.48</v>
      </c>
      <c r="J30" s="555">
        <v>8.8999999999999999E-3</v>
      </c>
      <c r="K30" s="555">
        <v>3.1E-4</v>
      </c>
      <c r="L30" s="555">
        <v>1.2999999999999999E-2</v>
      </c>
      <c r="M30" s="551">
        <v>1</v>
      </c>
      <c r="N30" s="552" t="s">
        <v>537</v>
      </c>
      <c r="O30" s="553">
        <v>8.0000000000000002E-3</v>
      </c>
      <c r="P30" s="553" t="s">
        <v>537</v>
      </c>
      <c r="Q30" s="553">
        <v>0.5</v>
      </c>
      <c r="R30" s="554">
        <v>4.0000000000000002E-4</v>
      </c>
      <c r="X30" s="438"/>
    </row>
    <row r="31" spans="1:24" ht="11.25" customHeight="1" x14ac:dyDescent="0.2">
      <c r="A31" s="66" t="s">
        <v>92</v>
      </c>
      <c r="B31" s="549" t="s">
        <v>576</v>
      </c>
      <c r="C31" s="164" t="s">
        <v>297</v>
      </c>
      <c r="D31" s="543">
        <v>143</v>
      </c>
      <c r="E31" s="31">
        <v>143.01</v>
      </c>
      <c r="F31" s="555">
        <v>32.21</v>
      </c>
      <c r="G31" s="555">
        <v>5.7000000000000002E-2</v>
      </c>
      <c r="H31" s="555">
        <v>8.6999999999999997E-6</v>
      </c>
      <c r="I31" s="555">
        <v>17200</v>
      </c>
      <c r="J31" s="555">
        <v>1.55</v>
      </c>
      <c r="K31" s="555">
        <v>1.7E-5</v>
      </c>
      <c r="L31" s="555">
        <v>6.9999999999999999E-4</v>
      </c>
      <c r="M31" s="551">
        <v>1</v>
      </c>
      <c r="N31" s="552" t="s">
        <v>537</v>
      </c>
      <c r="O31" s="553">
        <v>1.1000000000000001</v>
      </c>
      <c r="P31" s="553">
        <v>3.3E-4</v>
      </c>
      <c r="Q31" s="553" t="s">
        <v>537</v>
      </c>
      <c r="R31" s="557" t="s">
        <v>537</v>
      </c>
      <c r="X31" s="438"/>
    </row>
    <row r="32" spans="1:24" ht="11.25" customHeight="1" x14ac:dyDescent="0.2">
      <c r="A32" s="66" t="s">
        <v>539</v>
      </c>
      <c r="B32" s="549" t="s">
        <v>576</v>
      </c>
      <c r="C32" s="164" t="s">
        <v>297</v>
      </c>
      <c r="D32" s="543">
        <v>171</v>
      </c>
      <c r="E32" s="63">
        <v>171</v>
      </c>
      <c r="F32" s="550">
        <v>61</v>
      </c>
      <c r="G32" s="550">
        <v>6.3100000000000003E-2</v>
      </c>
      <c r="H32" s="550">
        <v>6.3999999999999997E-6</v>
      </c>
      <c r="I32" s="550">
        <v>1700</v>
      </c>
      <c r="J32" s="550">
        <v>0.53</v>
      </c>
      <c r="K32" s="550">
        <v>1.13E-4</v>
      </c>
      <c r="L32" s="550">
        <v>4.6299999999999996E-3</v>
      </c>
      <c r="M32" s="551">
        <v>1</v>
      </c>
      <c r="N32" s="552" t="s">
        <v>537</v>
      </c>
      <c r="O32" s="553">
        <v>7.0000000000000007E-2</v>
      </c>
      <c r="P32" s="553">
        <v>1.0000000000000001E-5</v>
      </c>
      <c r="Q32" s="555">
        <v>0.04</v>
      </c>
      <c r="R32" s="557">
        <v>0.14000000000000001</v>
      </c>
      <c r="X32" s="438"/>
    </row>
    <row r="33" spans="1:24" ht="11.25" customHeight="1" x14ac:dyDescent="0.2">
      <c r="A33" s="66" t="s">
        <v>94</v>
      </c>
      <c r="B33" s="549" t="s">
        <v>298</v>
      </c>
      <c r="C33" s="164" t="s">
        <v>283</v>
      </c>
      <c r="D33" s="543">
        <v>391</v>
      </c>
      <c r="E33" s="31">
        <v>390.57</v>
      </c>
      <c r="F33" s="555">
        <v>119600</v>
      </c>
      <c r="G33" s="555">
        <v>1.7000000000000001E-2</v>
      </c>
      <c r="H33" s="555">
        <v>4.1999999999999996E-6</v>
      </c>
      <c r="I33" s="555">
        <v>0.27</v>
      </c>
      <c r="J33" s="555">
        <v>1.4000000000000001E-7</v>
      </c>
      <c r="K33" s="555">
        <v>2.7000000000000001E-7</v>
      </c>
      <c r="L33" s="555">
        <v>1.1E-5</v>
      </c>
      <c r="M33" s="551">
        <v>1</v>
      </c>
      <c r="N33" s="552">
        <v>0.1</v>
      </c>
      <c r="O33" s="553">
        <v>1.4E-2</v>
      </c>
      <c r="P33" s="553">
        <v>2.3999999999999999E-6</v>
      </c>
      <c r="Q33" s="553">
        <v>0.02</v>
      </c>
      <c r="R33" s="557" t="s">
        <v>537</v>
      </c>
      <c r="X33" s="438"/>
    </row>
    <row r="34" spans="1:24" ht="11.25" customHeight="1" x14ac:dyDescent="0.2">
      <c r="A34" s="66" t="s">
        <v>95</v>
      </c>
      <c r="B34" s="549" t="s">
        <v>298</v>
      </c>
      <c r="C34" s="164" t="s">
        <v>283</v>
      </c>
      <c r="D34" s="543">
        <v>14</v>
      </c>
      <c r="E34" s="31">
        <v>13.84</v>
      </c>
      <c r="F34" s="555" t="s">
        <v>537</v>
      </c>
      <c r="G34" s="555" t="s">
        <v>537</v>
      </c>
      <c r="H34" s="555" t="s">
        <v>537</v>
      </c>
      <c r="I34" s="555" t="s">
        <v>537</v>
      </c>
      <c r="J34" s="555" t="s">
        <v>537</v>
      </c>
      <c r="K34" s="555" t="s">
        <v>537</v>
      </c>
      <c r="L34" s="555" t="s">
        <v>537</v>
      </c>
      <c r="M34" s="551">
        <v>1</v>
      </c>
      <c r="N34" s="552" t="s">
        <v>537</v>
      </c>
      <c r="O34" s="553" t="s">
        <v>537</v>
      </c>
      <c r="P34" s="553" t="s">
        <v>537</v>
      </c>
      <c r="Q34" s="553">
        <v>0.2</v>
      </c>
      <c r="R34" s="554">
        <v>0.02</v>
      </c>
      <c r="X34" s="438"/>
    </row>
    <row r="35" spans="1:24" ht="11.25" customHeight="1" x14ac:dyDescent="0.2">
      <c r="A35" s="66" t="s">
        <v>96</v>
      </c>
      <c r="B35" s="549" t="s">
        <v>576</v>
      </c>
      <c r="C35" s="164" t="s">
        <v>297</v>
      </c>
      <c r="D35" s="543">
        <v>164</v>
      </c>
      <c r="E35" s="31">
        <v>163.83000000000001</v>
      </c>
      <c r="F35" s="555">
        <v>31.82</v>
      </c>
      <c r="G35" s="555">
        <v>5.6000000000000001E-2</v>
      </c>
      <c r="H35" s="555">
        <v>1.1E-5</v>
      </c>
      <c r="I35" s="555">
        <v>3032</v>
      </c>
      <c r="J35" s="555">
        <v>50</v>
      </c>
      <c r="K35" s="555">
        <v>2.0999999999999999E-3</v>
      </c>
      <c r="L35" s="555">
        <v>8.6999999999999994E-2</v>
      </c>
      <c r="M35" s="551">
        <v>1</v>
      </c>
      <c r="N35" s="552" t="s">
        <v>537</v>
      </c>
      <c r="O35" s="553">
        <v>6.2E-2</v>
      </c>
      <c r="P35" s="553">
        <v>3.6999999999999998E-5</v>
      </c>
      <c r="Q35" s="553">
        <v>0.02</v>
      </c>
      <c r="R35" s="554">
        <v>0.08</v>
      </c>
      <c r="X35" s="438"/>
    </row>
    <row r="36" spans="1:24" s="131" customFormat="1" ht="12" customHeight="1" x14ac:dyDescent="0.2">
      <c r="A36" s="66" t="s">
        <v>97</v>
      </c>
      <c r="B36" s="549" t="s">
        <v>577</v>
      </c>
      <c r="C36" s="164" t="s">
        <v>283</v>
      </c>
      <c r="D36" s="543">
        <v>253</v>
      </c>
      <c r="E36" s="31">
        <v>252.73</v>
      </c>
      <c r="F36" s="555">
        <v>31.82</v>
      </c>
      <c r="G36" s="555">
        <v>3.5999999999999997E-2</v>
      </c>
      <c r="H36" s="555">
        <v>1.0000000000000001E-5</v>
      </c>
      <c r="I36" s="555">
        <v>3100</v>
      </c>
      <c r="J36" s="555">
        <v>5.4</v>
      </c>
      <c r="K36" s="555">
        <v>5.4000000000000001E-4</v>
      </c>
      <c r="L36" s="555">
        <v>2.1999999999999999E-2</v>
      </c>
      <c r="M36" s="551">
        <v>1</v>
      </c>
      <c r="N36" s="552" t="s">
        <v>537</v>
      </c>
      <c r="O36" s="553">
        <v>7.9000000000000008E-3</v>
      </c>
      <c r="P36" s="553">
        <v>1.1000000000000001E-6</v>
      </c>
      <c r="Q36" s="553">
        <v>0.02</v>
      </c>
      <c r="R36" s="557" t="s">
        <v>537</v>
      </c>
      <c r="X36" s="438"/>
    </row>
    <row r="37" spans="1:24" ht="11.25" customHeight="1" x14ac:dyDescent="0.2">
      <c r="A37" s="66" t="s">
        <v>98</v>
      </c>
      <c r="B37" s="549" t="s">
        <v>576</v>
      </c>
      <c r="C37" s="164" t="s">
        <v>348</v>
      </c>
      <c r="D37" s="543">
        <v>95</v>
      </c>
      <c r="E37" s="31">
        <v>94.94</v>
      </c>
      <c r="F37" s="555">
        <v>13.22</v>
      </c>
      <c r="G37" s="555">
        <v>0.1</v>
      </c>
      <c r="H37" s="555">
        <v>1.4E-5</v>
      </c>
      <c r="I37" s="555">
        <v>15200</v>
      </c>
      <c r="J37" s="555">
        <v>1616</v>
      </c>
      <c r="K37" s="555">
        <v>7.3000000000000001E-3</v>
      </c>
      <c r="L37" s="555">
        <v>0.3</v>
      </c>
      <c r="M37" s="551">
        <v>1</v>
      </c>
      <c r="N37" s="552" t="s">
        <v>537</v>
      </c>
      <c r="O37" s="553" t="s">
        <v>537</v>
      </c>
      <c r="P37" s="553" t="s">
        <v>537</v>
      </c>
      <c r="Q37" s="553">
        <v>1.4E-3</v>
      </c>
      <c r="R37" s="554">
        <v>5.0000000000000001E-3</v>
      </c>
      <c r="X37" s="438"/>
    </row>
    <row r="38" spans="1:24" ht="11.25" customHeight="1" x14ac:dyDescent="0.2">
      <c r="A38" s="66" t="s">
        <v>99</v>
      </c>
      <c r="B38" s="549" t="s">
        <v>298</v>
      </c>
      <c r="C38" s="164" t="s">
        <v>283</v>
      </c>
      <c r="D38" s="543">
        <v>112</v>
      </c>
      <c r="E38" s="31">
        <v>112.41</v>
      </c>
      <c r="F38" s="555" t="s">
        <v>537</v>
      </c>
      <c r="G38" s="555" t="s">
        <v>537</v>
      </c>
      <c r="H38" s="555" t="s">
        <v>537</v>
      </c>
      <c r="I38" s="555" t="s">
        <v>537</v>
      </c>
      <c r="J38" s="555" t="s">
        <v>537</v>
      </c>
      <c r="K38" s="555" t="s">
        <v>537</v>
      </c>
      <c r="L38" s="555" t="s">
        <v>537</v>
      </c>
      <c r="M38" s="552">
        <v>2.5000000000000001E-2</v>
      </c>
      <c r="N38" s="552">
        <v>1E-3</v>
      </c>
      <c r="O38" s="553" t="s">
        <v>537</v>
      </c>
      <c r="P38" s="553">
        <v>1.8E-3</v>
      </c>
      <c r="Q38" s="553">
        <v>1E-3</v>
      </c>
      <c r="R38" s="554">
        <v>1.0000000000000001E-5</v>
      </c>
      <c r="X38" s="438"/>
    </row>
    <row r="39" spans="1:24" ht="11.25" customHeight="1" x14ac:dyDescent="0.2">
      <c r="A39" s="66" t="s">
        <v>100</v>
      </c>
      <c r="B39" s="549" t="s">
        <v>576</v>
      </c>
      <c r="C39" s="164" t="s">
        <v>297</v>
      </c>
      <c r="D39" s="543">
        <v>154</v>
      </c>
      <c r="E39" s="31">
        <v>153.82</v>
      </c>
      <c r="F39" s="555">
        <v>43.89</v>
      </c>
      <c r="G39" s="555">
        <v>5.7000000000000002E-2</v>
      </c>
      <c r="H39" s="555">
        <v>9.7999999999999993E-6</v>
      </c>
      <c r="I39" s="555">
        <v>793</v>
      </c>
      <c r="J39" s="555">
        <v>115</v>
      </c>
      <c r="K39" s="555">
        <v>2.8000000000000001E-2</v>
      </c>
      <c r="L39" s="555">
        <v>1.1000000000000001</v>
      </c>
      <c r="M39" s="551">
        <v>1</v>
      </c>
      <c r="N39" s="552" t="s">
        <v>537</v>
      </c>
      <c r="O39" s="553">
        <v>7.0000000000000007E-2</v>
      </c>
      <c r="P39" s="553">
        <v>6.0000000000000002E-6</v>
      </c>
      <c r="Q39" s="553">
        <v>4.0000000000000001E-3</v>
      </c>
      <c r="R39" s="554">
        <v>0.1</v>
      </c>
      <c r="X39" s="438"/>
    </row>
    <row r="40" spans="1:24" ht="11.25" customHeight="1" x14ac:dyDescent="0.2">
      <c r="A40" s="66" t="s">
        <v>262</v>
      </c>
      <c r="B40" s="549" t="s">
        <v>577</v>
      </c>
      <c r="C40" s="164" t="s">
        <v>283</v>
      </c>
      <c r="D40" s="543">
        <v>410</v>
      </c>
      <c r="E40" s="31">
        <v>409.78</v>
      </c>
      <c r="F40" s="555">
        <v>67540</v>
      </c>
      <c r="G40" s="555">
        <v>2.1000000000000001E-2</v>
      </c>
      <c r="H40" s="555">
        <v>5.4E-6</v>
      </c>
      <c r="I40" s="555">
        <v>5.6000000000000001E-2</v>
      </c>
      <c r="J40" s="555">
        <v>1.0000000000000001E-5</v>
      </c>
      <c r="K40" s="555">
        <v>4.8999999999999998E-5</v>
      </c>
      <c r="L40" s="555">
        <v>2E-3</v>
      </c>
      <c r="M40" s="551">
        <v>1</v>
      </c>
      <c r="N40" s="552">
        <v>0.04</v>
      </c>
      <c r="O40" s="553">
        <v>0.35</v>
      </c>
      <c r="P40" s="553">
        <v>1E-4</v>
      </c>
      <c r="Q40" s="553">
        <v>5.0000000000000001E-4</v>
      </c>
      <c r="R40" s="554">
        <v>6.9999999999999999E-4</v>
      </c>
      <c r="X40" s="438"/>
    </row>
    <row r="41" spans="1:24" ht="11.25" customHeight="1" x14ac:dyDescent="0.2">
      <c r="A41" s="66" t="s">
        <v>101</v>
      </c>
      <c r="B41" s="549" t="s">
        <v>298</v>
      </c>
      <c r="C41" s="164" t="s">
        <v>283</v>
      </c>
      <c r="D41" s="543">
        <v>128</v>
      </c>
      <c r="E41" s="31">
        <v>127.57</v>
      </c>
      <c r="F41" s="555">
        <v>112.7</v>
      </c>
      <c r="G41" s="555">
        <v>7.0000000000000007E-2</v>
      </c>
      <c r="H41" s="555">
        <v>1.0000000000000001E-5</v>
      </c>
      <c r="I41" s="555">
        <v>3900</v>
      </c>
      <c r="J41" s="555">
        <v>2.7E-2</v>
      </c>
      <c r="K41" s="555">
        <v>1.1999999999999999E-6</v>
      </c>
      <c r="L41" s="555">
        <v>4.6999999999999997E-5</v>
      </c>
      <c r="M41" s="551">
        <v>1</v>
      </c>
      <c r="N41" s="552">
        <v>0.1</v>
      </c>
      <c r="O41" s="553">
        <v>0.2</v>
      </c>
      <c r="P41" s="553" t="s">
        <v>537</v>
      </c>
      <c r="Q41" s="553">
        <v>4.0000000000000001E-3</v>
      </c>
      <c r="R41" s="557" t="s">
        <v>537</v>
      </c>
      <c r="X41" s="438"/>
    </row>
    <row r="42" spans="1:24" ht="11.25" customHeight="1" x14ac:dyDescent="0.2">
      <c r="A42" s="66" t="s">
        <v>102</v>
      </c>
      <c r="B42" s="549" t="s">
        <v>576</v>
      </c>
      <c r="C42" s="164" t="s">
        <v>297</v>
      </c>
      <c r="D42" s="543">
        <v>113</v>
      </c>
      <c r="E42" s="31">
        <v>112.56</v>
      </c>
      <c r="F42" s="555">
        <v>233.9</v>
      </c>
      <c r="G42" s="555">
        <v>7.1999999999999995E-2</v>
      </c>
      <c r="H42" s="555">
        <v>9.5000000000000005E-6</v>
      </c>
      <c r="I42" s="555">
        <v>498</v>
      </c>
      <c r="J42" s="555">
        <v>11.97</v>
      </c>
      <c r="K42" s="555">
        <v>3.0999999999999999E-3</v>
      </c>
      <c r="L42" s="555">
        <v>0.13</v>
      </c>
      <c r="M42" s="551">
        <v>1</v>
      </c>
      <c r="N42" s="552" t="s">
        <v>537</v>
      </c>
      <c r="O42" s="553" t="s">
        <v>537</v>
      </c>
      <c r="P42" s="553" t="s">
        <v>537</v>
      </c>
      <c r="Q42" s="553">
        <v>0.02</v>
      </c>
      <c r="R42" s="554">
        <v>0.05</v>
      </c>
      <c r="X42" s="438"/>
    </row>
    <row r="43" spans="1:24" ht="11.25" customHeight="1" x14ac:dyDescent="0.2">
      <c r="A43" s="66" t="s">
        <v>328</v>
      </c>
      <c r="B43" s="549" t="s">
        <v>576</v>
      </c>
      <c r="C43" s="164" t="s">
        <v>348</v>
      </c>
      <c r="D43" s="543">
        <v>65</v>
      </c>
      <c r="E43" s="31">
        <v>64.52</v>
      </c>
      <c r="F43" s="555">
        <v>21.73</v>
      </c>
      <c r="G43" s="555">
        <v>0.1</v>
      </c>
      <c r="H43" s="555">
        <v>1.2E-5</v>
      </c>
      <c r="I43" s="555">
        <v>6710</v>
      </c>
      <c r="J43" s="555">
        <v>1008</v>
      </c>
      <c r="K43" s="555">
        <v>1.0999999999999999E-2</v>
      </c>
      <c r="L43" s="555">
        <v>0.45</v>
      </c>
      <c r="M43" s="551">
        <v>1</v>
      </c>
      <c r="N43" s="552" t="s">
        <v>537</v>
      </c>
      <c r="O43" s="553" t="s">
        <v>537</v>
      </c>
      <c r="P43" s="553" t="s">
        <v>537</v>
      </c>
      <c r="Q43" s="553" t="s">
        <v>537</v>
      </c>
      <c r="R43" s="554">
        <v>10</v>
      </c>
      <c r="X43" s="438"/>
    </row>
    <row r="44" spans="1:24" ht="11.25" customHeight="1" x14ac:dyDescent="0.2">
      <c r="A44" s="412" t="s">
        <v>103</v>
      </c>
      <c r="B44" s="549" t="s">
        <v>576</v>
      </c>
      <c r="C44" s="164" t="s">
        <v>297</v>
      </c>
      <c r="D44" s="543">
        <v>119</v>
      </c>
      <c r="E44" s="31">
        <v>119.38</v>
      </c>
      <c r="F44" s="555">
        <v>31.82</v>
      </c>
      <c r="G44" s="555">
        <v>7.6999999999999999E-2</v>
      </c>
      <c r="H44" s="555">
        <v>1.1E-5</v>
      </c>
      <c r="I44" s="555">
        <v>7950</v>
      </c>
      <c r="J44" s="555">
        <v>197</v>
      </c>
      <c r="K44" s="555">
        <v>3.7000000000000002E-3</v>
      </c>
      <c r="L44" s="555">
        <v>0.15</v>
      </c>
      <c r="M44" s="551">
        <v>1</v>
      </c>
      <c r="N44" s="552" t="s">
        <v>537</v>
      </c>
      <c r="O44" s="553">
        <v>3.1E-2</v>
      </c>
      <c r="P44" s="553">
        <v>2.3E-5</v>
      </c>
      <c r="Q44" s="553">
        <v>0.01</v>
      </c>
      <c r="R44" s="554">
        <v>9.8000000000000004E-2</v>
      </c>
      <c r="X44" s="438"/>
    </row>
    <row r="45" spans="1:24" ht="11.25" customHeight="1" x14ac:dyDescent="0.2">
      <c r="A45" s="66" t="s">
        <v>329</v>
      </c>
      <c r="B45" s="549" t="s">
        <v>576</v>
      </c>
      <c r="C45" s="162" t="s">
        <v>348</v>
      </c>
      <c r="D45" s="561">
        <v>50</v>
      </c>
      <c r="E45" s="31">
        <v>50.49</v>
      </c>
      <c r="F45" s="555">
        <v>13.22</v>
      </c>
      <c r="G45" s="555">
        <v>0.12</v>
      </c>
      <c r="H45" s="555">
        <v>1.4E-5</v>
      </c>
      <c r="I45" s="555">
        <v>5320</v>
      </c>
      <c r="J45" s="555">
        <v>4300</v>
      </c>
      <c r="K45" s="555">
        <v>8.8000000000000005E-3</v>
      </c>
      <c r="L45" s="555">
        <v>0.36</v>
      </c>
      <c r="M45" s="551">
        <v>1</v>
      </c>
      <c r="N45" s="552" t="s">
        <v>537</v>
      </c>
      <c r="O45" s="553" t="s">
        <v>537</v>
      </c>
      <c r="P45" s="553" t="s">
        <v>537</v>
      </c>
      <c r="Q45" s="553" t="s">
        <v>537</v>
      </c>
      <c r="R45" s="554">
        <v>0.09</v>
      </c>
      <c r="X45" s="438"/>
    </row>
    <row r="46" spans="1:24" ht="11.25" customHeight="1" x14ac:dyDescent="0.2">
      <c r="A46" s="66" t="s">
        <v>104</v>
      </c>
      <c r="B46" s="549" t="s">
        <v>576</v>
      </c>
      <c r="C46" s="162" t="s">
        <v>297</v>
      </c>
      <c r="D46" s="561">
        <v>129</v>
      </c>
      <c r="E46" s="31">
        <v>128.56</v>
      </c>
      <c r="F46" s="555">
        <v>388</v>
      </c>
      <c r="G46" s="555">
        <v>6.6000000000000003E-2</v>
      </c>
      <c r="H46" s="555">
        <v>9.5000000000000005E-6</v>
      </c>
      <c r="I46" s="555">
        <v>11300</v>
      </c>
      <c r="J46" s="555">
        <v>2.5</v>
      </c>
      <c r="K46" s="555">
        <v>1.1E-5</v>
      </c>
      <c r="L46" s="555">
        <v>4.6000000000000001E-4</v>
      </c>
      <c r="M46" s="551">
        <v>1</v>
      </c>
      <c r="N46" s="552" t="s">
        <v>537</v>
      </c>
      <c r="O46" s="553" t="s">
        <v>537</v>
      </c>
      <c r="P46" s="553" t="s">
        <v>537</v>
      </c>
      <c r="Q46" s="553">
        <v>5.0000000000000001E-3</v>
      </c>
      <c r="R46" s="554">
        <v>0.02</v>
      </c>
      <c r="X46" s="438"/>
    </row>
    <row r="47" spans="1:24" ht="11.25" customHeight="1" x14ac:dyDescent="0.2">
      <c r="A47" s="66" t="s">
        <v>260</v>
      </c>
      <c r="B47" s="549" t="s">
        <v>298</v>
      </c>
      <c r="C47" s="162" t="s">
        <v>283</v>
      </c>
      <c r="D47" s="561">
        <v>52</v>
      </c>
      <c r="E47" s="63">
        <v>52</v>
      </c>
      <c r="F47" s="550" t="s">
        <v>537</v>
      </c>
      <c r="G47" s="550" t="s">
        <v>537</v>
      </c>
      <c r="H47" s="550" t="s">
        <v>537</v>
      </c>
      <c r="I47" s="550" t="s">
        <v>537</v>
      </c>
      <c r="J47" s="550" t="s">
        <v>537</v>
      </c>
      <c r="K47" s="550" t="s">
        <v>537</v>
      </c>
      <c r="L47" s="550" t="s">
        <v>537</v>
      </c>
      <c r="M47" s="551">
        <v>1.2999999999999999E-2</v>
      </c>
      <c r="N47" s="552" t="s">
        <v>537</v>
      </c>
      <c r="O47" s="553" t="s">
        <v>537</v>
      </c>
      <c r="P47" s="553" t="s">
        <v>537</v>
      </c>
      <c r="Q47" s="553" t="s">
        <v>537</v>
      </c>
      <c r="R47" s="557" t="s">
        <v>537</v>
      </c>
      <c r="X47" s="438"/>
    </row>
    <row r="48" spans="1:24" ht="11.25" customHeight="1" x14ac:dyDescent="0.2">
      <c r="A48" s="66" t="s">
        <v>326</v>
      </c>
      <c r="B48" s="549" t="s">
        <v>298</v>
      </c>
      <c r="C48" s="162" t="s">
        <v>283</v>
      </c>
      <c r="D48" s="561">
        <v>52</v>
      </c>
      <c r="E48" s="31">
        <v>52</v>
      </c>
      <c r="F48" s="555" t="s">
        <v>537</v>
      </c>
      <c r="G48" s="555" t="s">
        <v>537</v>
      </c>
      <c r="H48" s="555" t="s">
        <v>537</v>
      </c>
      <c r="I48" s="555" t="s">
        <v>537</v>
      </c>
      <c r="J48" s="555" t="s">
        <v>537</v>
      </c>
      <c r="K48" s="555" t="s">
        <v>537</v>
      </c>
      <c r="L48" s="555" t="s">
        <v>537</v>
      </c>
      <c r="M48" s="552">
        <v>1.2999999999999999E-2</v>
      </c>
      <c r="N48" s="552" t="s">
        <v>537</v>
      </c>
      <c r="O48" s="553" t="s">
        <v>537</v>
      </c>
      <c r="P48" s="553" t="s">
        <v>537</v>
      </c>
      <c r="Q48" s="553">
        <v>1.5</v>
      </c>
      <c r="R48" s="557" t="s">
        <v>537</v>
      </c>
      <c r="X48" s="438"/>
    </row>
    <row r="49" spans="1:24" ht="11.25" customHeight="1" x14ac:dyDescent="0.2">
      <c r="A49" s="66" t="s">
        <v>327</v>
      </c>
      <c r="B49" s="549" t="s">
        <v>298</v>
      </c>
      <c r="C49" s="162" t="s">
        <v>283</v>
      </c>
      <c r="D49" s="561">
        <v>52</v>
      </c>
      <c r="E49" s="63">
        <v>52</v>
      </c>
      <c r="F49" s="555" t="s">
        <v>537</v>
      </c>
      <c r="G49" s="555" t="s">
        <v>537</v>
      </c>
      <c r="H49" s="555" t="s">
        <v>537</v>
      </c>
      <c r="I49" s="555">
        <v>1690000</v>
      </c>
      <c r="J49" s="555" t="s">
        <v>537</v>
      </c>
      <c r="K49" s="555" t="s">
        <v>537</v>
      </c>
      <c r="L49" s="555" t="s">
        <v>537</v>
      </c>
      <c r="M49" s="552">
        <v>2.5000000000000001E-2</v>
      </c>
      <c r="N49" s="552" t="s">
        <v>537</v>
      </c>
      <c r="O49" s="553">
        <v>0.5</v>
      </c>
      <c r="P49" s="553">
        <v>8.4000000000000005E-2</v>
      </c>
      <c r="Q49" s="553">
        <v>3.0000000000000001E-3</v>
      </c>
      <c r="R49" s="554">
        <v>1E-4</v>
      </c>
      <c r="X49" s="438"/>
    </row>
    <row r="50" spans="1:24" ht="11.25" customHeight="1" x14ac:dyDescent="0.2">
      <c r="A50" s="66" t="s">
        <v>105</v>
      </c>
      <c r="B50" s="549" t="s">
        <v>298</v>
      </c>
      <c r="C50" s="162" t="s">
        <v>283</v>
      </c>
      <c r="D50" s="561">
        <v>228</v>
      </c>
      <c r="E50" s="31">
        <v>228.3</v>
      </c>
      <c r="F50" s="555">
        <v>180500</v>
      </c>
      <c r="G50" s="555">
        <v>2.5999999999999999E-2</v>
      </c>
      <c r="H50" s="555">
        <v>6.7000000000000002E-6</v>
      </c>
      <c r="I50" s="555">
        <v>2E-3</v>
      </c>
      <c r="J50" s="555">
        <v>6.2000000000000001E-9</v>
      </c>
      <c r="K50" s="555">
        <v>5.2000000000000002E-6</v>
      </c>
      <c r="L50" s="555">
        <v>2.1000000000000001E-4</v>
      </c>
      <c r="M50" s="551">
        <v>1</v>
      </c>
      <c r="N50" s="552">
        <v>0.13</v>
      </c>
      <c r="O50" s="559">
        <v>1E-3</v>
      </c>
      <c r="P50" s="559">
        <v>5.9999999999999997E-7</v>
      </c>
      <c r="Q50" s="553" t="s">
        <v>537</v>
      </c>
      <c r="R50" s="557" t="s">
        <v>537</v>
      </c>
      <c r="X50" s="438"/>
    </row>
    <row r="51" spans="1:24" ht="11.25" customHeight="1" x14ac:dyDescent="0.2">
      <c r="A51" s="66" t="s">
        <v>106</v>
      </c>
      <c r="B51" s="549" t="s">
        <v>298</v>
      </c>
      <c r="C51" s="162" t="s">
        <v>283</v>
      </c>
      <c r="D51" s="561">
        <v>59</v>
      </c>
      <c r="E51" s="63">
        <v>59</v>
      </c>
      <c r="F51" s="550" t="s">
        <v>537</v>
      </c>
      <c r="G51" s="550" t="s">
        <v>537</v>
      </c>
      <c r="H51" s="550" t="s">
        <v>537</v>
      </c>
      <c r="I51" s="550" t="s">
        <v>537</v>
      </c>
      <c r="J51" s="550" t="s">
        <v>537</v>
      </c>
      <c r="K51" s="550" t="s">
        <v>537</v>
      </c>
      <c r="L51" s="550" t="s">
        <v>537</v>
      </c>
      <c r="M51" s="551">
        <v>1</v>
      </c>
      <c r="N51" s="552" t="s">
        <v>537</v>
      </c>
      <c r="O51" s="553" t="s">
        <v>537</v>
      </c>
      <c r="P51" s="553">
        <v>8.9999999999999993E-3</v>
      </c>
      <c r="Q51" s="555">
        <v>2.9999999999999997E-4</v>
      </c>
      <c r="R51" s="557">
        <v>6.0000000000000002E-6</v>
      </c>
      <c r="X51" s="438"/>
    </row>
    <row r="52" spans="1:24" ht="11.25" customHeight="1" x14ac:dyDescent="0.2">
      <c r="A52" s="66" t="s">
        <v>107</v>
      </c>
      <c r="B52" s="549" t="s">
        <v>298</v>
      </c>
      <c r="C52" s="162" t="s">
        <v>283</v>
      </c>
      <c r="D52" s="561">
        <v>64</v>
      </c>
      <c r="E52" s="31">
        <v>63.55</v>
      </c>
      <c r="F52" s="555" t="s">
        <v>537</v>
      </c>
      <c r="G52" s="555" t="s">
        <v>537</v>
      </c>
      <c r="H52" s="555" t="s">
        <v>537</v>
      </c>
      <c r="I52" s="555" t="s">
        <v>537</v>
      </c>
      <c r="J52" s="555" t="s">
        <v>537</v>
      </c>
      <c r="K52" s="555" t="s">
        <v>537</v>
      </c>
      <c r="L52" s="555" t="s">
        <v>537</v>
      </c>
      <c r="M52" s="551">
        <v>1</v>
      </c>
      <c r="N52" s="552" t="s">
        <v>537</v>
      </c>
      <c r="O52" s="553" t="s">
        <v>537</v>
      </c>
      <c r="P52" s="553" t="s">
        <v>537</v>
      </c>
      <c r="Q52" s="553">
        <v>0.04</v>
      </c>
      <c r="R52" s="557" t="s">
        <v>537</v>
      </c>
      <c r="X52" s="438"/>
    </row>
    <row r="53" spans="1:24" ht="11.25" customHeight="1" x14ac:dyDescent="0.2">
      <c r="A53" s="66" t="s">
        <v>108</v>
      </c>
      <c r="B53" s="549" t="s">
        <v>576</v>
      </c>
      <c r="C53" s="162" t="s">
        <v>283</v>
      </c>
      <c r="D53" s="562">
        <v>27</v>
      </c>
      <c r="E53" s="31">
        <v>27.03</v>
      </c>
      <c r="F53" s="555" t="s">
        <v>537</v>
      </c>
      <c r="G53" s="555">
        <v>0.21</v>
      </c>
      <c r="H53" s="555">
        <v>2.5000000000000001E-5</v>
      </c>
      <c r="I53" s="555">
        <v>95400</v>
      </c>
      <c r="J53" s="555">
        <v>308</v>
      </c>
      <c r="K53" s="555">
        <v>1E-4</v>
      </c>
      <c r="L53" s="555">
        <v>4.1999999999999997E-3</v>
      </c>
      <c r="M53" s="551">
        <v>1</v>
      </c>
      <c r="N53" s="552" t="s">
        <v>537</v>
      </c>
      <c r="O53" s="553" t="s">
        <v>537</v>
      </c>
      <c r="P53" s="553" t="s">
        <v>537</v>
      </c>
      <c r="Q53" s="553">
        <v>5.9999999999999995E-4</v>
      </c>
      <c r="R53" s="557">
        <v>8.0000000000000004E-4</v>
      </c>
      <c r="X53" s="438"/>
    </row>
    <row r="54" spans="1:24" ht="11.25" customHeight="1" x14ac:dyDescent="0.2">
      <c r="A54" s="66" t="s">
        <v>365</v>
      </c>
      <c r="B54" s="549" t="s">
        <v>298</v>
      </c>
      <c r="C54" s="162" t="s">
        <v>283</v>
      </c>
      <c r="D54" s="561">
        <v>222</v>
      </c>
      <c r="E54" s="31">
        <v>222.12</v>
      </c>
      <c r="F54" s="555">
        <v>89.07</v>
      </c>
      <c r="G54" s="555">
        <v>3.1E-2</v>
      </c>
      <c r="H54" s="555">
        <v>8.4999999999999999E-6</v>
      </c>
      <c r="I54" s="555">
        <v>59.7</v>
      </c>
      <c r="J54" s="555">
        <v>4.1000000000000003E-9</v>
      </c>
      <c r="K54" s="555">
        <v>1.9999999999999999E-11</v>
      </c>
      <c r="L54" s="555">
        <v>8.1999999999999996E-10</v>
      </c>
      <c r="M54" s="551">
        <v>1</v>
      </c>
      <c r="N54" s="552">
        <v>1.4999999999999999E-2</v>
      </c>
      <c r="O54" s="553">
        <v>0.11</v>
      </c>
      <c r="P54" s="553" t="s">
        <v>537</v>
      </c>
      <c r="Q54" s="553">
        <v>3.0000000000000001E-3</v>
      </c>
      <c r="R54" s="557" t="s">
        <v>537</v>
      </c>
      <c r="X54" s="438"/>
    </row>
    <row r="55" spans="1:24" ht="11.25" customHeight="1" x14ac:dyDescent="0.2">
      <c r="A55" s="66" t="s">
        <v>366</v>
      </c>
      <c r="B55" s="549" t="s">
        <v>298</v>
      </c>
      <c r="C55" s="162" t="s">
        <v>297</v>
      </c>
      <c r="D55" s="561">
        <v>143</v>
      </c>
      <c r="E55" s="31">
        <v>142.97</v>
      </c>
      <c r="F55" s="555">
        <v>3.2</v>
      </c>
      <c r="G55" s="555">
        <v>0.06</v>
      </c>
      <c r="H55" s="555">
        <v>9.3999999999999998E-6</v>
      </c>
      <c r="I55" s="555">
        <v>502000</v>
      </c>
      <c r="J55" s="555">
        <v>0.15</v>
      </c>
      <c r="K55" s="555">
        <v>5.7000000000000001E-8</v>
      </c>
      <c r="L55" s="555">
        <v>2.3E-6</v>
      </c>
      <c r="M55" s="551">
        <v>1</v>
      </c>
      <c r="N55" s="552">
        <v>0.1</v>
      </c>
      <c r="O55" s="553" t="s">
        <v>537</v>
      </c>
      <c r="P55" s="553" t="s">
        <v>537</v>
      </c>
      <c r="Q55" s="553">
        <v>0.03</v>
      </c>
      <c r="R55" s="557" t="s">
        <v>537</v>
      </c>
      <c r="X55" s="438"/>
    </row>
    <row r="56" spans="1:24" ht="11.25" customHeight="1" x14ac:dyDescent="0.2">
      <c r="A56" s="66" t="s">
        <v>109</v>
      </c>
      <c r="B56" s="549" t="s">
        <v>298</v>
      </c>
      <c r="C56" s="162" t="s">
        <v>283</v>
      </c>
      <c r="D56" s="561">
        <v>278</v>
      </c>
      <c r="E56" s="31">
        <v>278.36</v>
      </c>
      <c r="F56" s="555">
        <v>1912000</v>
      </c>
      <c r="G56" s="555">
        <v>4.4999999999999998E-2</v>
      </c>
      <c r="H56" s="555">
        <v>5.2000000000000002E-6</v>
      </c>
      <c r="I56" s="555">
        <v>2.5000000000000001E-3</v>
      </c>
      <c r="J56" s="555">
        <v>9.5999999999999999E-10</v>
      </c>
      <c r="K56" s="555">
        <v>1.4000000000000001E-7</v>
      </c>
      <c r="L56" s="555">
        <v>5.8000000000000004E-6</v>
      </c>
      <c r="M56" s="551">
        <v>1</v>
      </c>
      <c r="N56" s="552">
        <v>0.13</v>
      </c>
      <c r="O56" s="559">
        <v>1</v>
      </c>
      <c r="P56" s="559">
        <v>5.9999999999999995E-4</v>
      </c>
      <c r="Q56" s="553" t="s">
        <v>537</v>
      </c>
      <c r="R56" s="557" t="s">
        <v>537</v>
      </c>
      <c r="X56" s="438"/>
    </row>
    <row r="57" spans="1:24" ht="11.25" customHeight="1" x14ac:dyDescent="0.2">
      <c r="A57" s="66" t="s">
        <v>205</v>
      </c>
      <c r="B57" s="549" t="s">
        <v>576</v>
      </c>
      <c r="C57" s="162" t="s">
        <v>297</v>
      </c>
      <c r="D57" s="561">
        <v>236</v>
      </c>
      <c r="E57" s="63">
        <v>199</v>
      </c>
      <c r="F57" s="555">
        <v>115.8</v>
      </c>
      <c r="G57" s="555">
        <v>3.2000000000000001E-2</v>
      </c>
      <c r="H57" s="555">
        <v>8.8999999999999995E-6</v>
      </c>
      <c r="I57" s="555">
        <v>1230</v>
      </c>
      <c r="J57" s="555">
        <v>0.57999999999999996</v>
      </c>
      <c r="K57" s="555">
        <v>1.4999999999999999E-4</v>
      </c>
      <c r="L57" s="555">
        <v>6.0000000000000001E-3</v>
      </c>
      <c r="M57" s="551">
        <v>1</v>
      </c>
      <c r="N57" s="552" t="s">
        <v>537</v>
      </c>
      <c r="O57" s="553">
        <v>0.8</v>
      </c>
      <c r="P57" s="553">
        <v>6.0000000000000001E-3</v>
      </c>
      <c r="Q57" s="553">
        <v>2.0000000000000001E-4</v>
      </c>
      <c r="R57" s="554">
        <v>2.0000000000000001E-4</v>
      </c>
      <c r="X57" s="438"/>
    </row>
    <row r="58" spans="1:24" ht="11.25" customHeight="1" x14ac:dyDescent="0.2">
      <c r="A58" s="66" t="s">
        <v>110</v>
      </c>
      <c r="B58" s="549" t="s">
        <v>576</v>
      </c>
      <c r="C58" s="162" t="s">
        <v>283</v>
      </c>
      <c r="D58" s="561">
        <v>208</v>
      </c>
      <c r="E58" s="63">
        <v>199</v>
      </c>
      <c r="F58" s="555">
        <v>31.82</v>
      </c>
      <c r="G58" s="555">
        <v>3.6999999999999998E-2</v>
      </c>
      <c r="H58" s="555">
        <v>1.1E-5</v>
      </c>
      <c r="I58" s="555">
        <v>2700</v>
      </c>
      <c r="J58" s="555">
        <v>5.54</v>
      </c>
      <c r="K58" s="555">
        <v>7.7999999999999999E-4</v>
      </c>
      <c r="L58" s="555">
        <v>3.2000000000000001E-2</v>
      </c>
      <c r="M58" s="551">
        <v>1</v>
      </c>
      <c r="N58" s="552" t="s">
        <v>537</v>
      </c>
      <c r="O58" s="553">
        <v>8.4000000000000005E-2</v>
      </c>
      <c r="P58" s="553" t="s">
        <v>537</v>
      </c>
      <c r="Q58" s="553">
        <v>0.02</v>
      </c>
      <c r="R58" s="554">
        <v>0.08</v>
      </c>
      <c r="X58" s="438"/>
    </row>
    <row r="59" spans="1:24" ht="11.25" customHeight="1" x14ac:dyDescent="0.2">
      <c r="A59" s="66" t="s">
        <v>117</v>
      </c>
      <c r="B59" s="549" t="s">
        <v>576</v>
      </c>
      <c r="C59" s="162" t="s">
        <v>283</v>
      </c>
      <c r="D59" s="561">
        <v>188</v>
      </c>
      <c r="E59" s="31">
        <v>187.86</v>
      </c>
      <c r="F59" s="555">
        <v>39.6</v>
      </c>
      <c r="G59" s="555">
        <v>4.2999999999999997E-2</v>
      </c>
      <c r="H59" s="555">
        <v>1.0000000000000001E-5</v>
      </c>
      <c r="I59" s="555">
        <v>3910</v>
      </c>
      <c r="J59" s="555">
        <v>11.2</v>
      </c>
      <c r="K59" s="555">
        <v>6.4999999999999997E-4</v>
      </c>
      <c r="L59" s="555">
        <v>2.7E-2</v>
      </c>
      <c r="M59" s="551">
        <v>1</v>
      </c>
      <c r="N59" s="552" t="s">
        <v>537</v>
      </c>
      <c r="O59" s="553">
        <v>2</v>
      </c>
      <c r="P59" s="553">
        <v>5.9999999999999995E-4</v>
      </c>
      <c r="Q59" s="553">
        <v>8.9999999999999993E-3</v>
      </c>
      <c r="R59" s="554">
        <v>8.9999999999999993E-3</v>
      </c>
      <c r="X59" s="438"/>
    </row>
    <row r="60" spans="1:24" ht="11.25" customHeight="1" x14ac:dyDescent="0.2">
      <c r="A60" s="66" t="s">
        <v>111</v>
      </c>
      <c r="B60" s="549" t="s">
        <v>576</v>
      </c>
      <c r="C60" s="162" t="s">
        <v>297</v>
      </c>
      <c r="D60" s="561">
        <v>147</v>
      </c>
      <c r="E60" s="31">
        <v>147</v>
      </c>
      <c r="F60" s="555">
        <v>382.9</v>
      </c>
      <c r="G60" s="555">
        <v>5.6000000000000001E-2</v>
      </c>
      <c r="H60" s="555">
        <v>8.8999999999999995E-6</v>
      </c>
      <c r="I60" s="555">
        <v>156</v>
      </c>
      <c r="J60" s="555">
        <v>1.36</v>
      </c>
      <c r="K60" s="555">
        <v>1.9E-3</v>
      </c>
      <c r="L60" s="555">
        <v>7.8E-2</v>
      </c>
      <c r="M60" s="551">
        <v>1</v>
      </c>
      <c r="N60" s="552" t="s">
        <v>537</v>
      </c>
      <c r="O60" s="553" t="s">
        <v>537</v>
      </c>
      <c r="P60" s="553" t="s">
        <v>537</v>
      </c>
      <c r="Q60" s="553">
        <v>0.09</v>
      </c>
      <c r="R60" s="554">
        <v>0.2</v>
      </c>
      <c r="X60" s="438"/>
    </row>
    <row r="61" spans="1:24" ht="11.25" customHeight="1" x14ac:dyDescent="0.2">
      <c r="A61" s="66" t="s">
        <v>128</v>
      </c>
      <c r="B61" s="549" t="s">
        <v>576</v>
      </c>
      <c r="C61" s="162" t="s">
        <v>297</v>
      </c>
      <c r="D61" s="561">
        <v>147</v>
      </c>
      <c r="E61" s="63">
        <v>147</v>
      </c>
      <c r="F61" s="550">
        <v>617</v>
      </c>
      <c r="G61" s="550">
        <v>6.9000000000000006E-2</v>
      </c>
      <c r="H61" s="550">
        <v>7.9000000000000006E-6</v>
      </c>
      <c r="I61" s="550">
        <v>156</v>
      </c>
      <c r="J61" s="550">
        <v>2.15</v>
      </c>
      <c r="K61" s="550">
        <v>1.9E-3</v>
      </c>
      <c r="L61" s="550">
        <v>7.7899999999999997E-2</v>
      </c>
      <c r="M61" s="551">
        <v>1</v>
      </c>
      <c r="N61" s="552" t="s">
        <v>537</v>
      </c>
      <c r="O61" s="553" t="s">
        <v>537</v>
      </c>
      <c r="P61" s="553" t="s">
        <v>537</v>
      </c>
      <c r="Q61" s="555">
        <v>0.03</v>
      </c>
      <c r="R61" s="554">
        <v>0.12</v>
      </c>
      <c r="X61" s="438"/>
    </row>
    <row r="62" spans="1:24" ht="11.25" customHeight="1" x14ac:dyDescent="0.2">
      <c r="A62" s="66" t="s">
        <v>129</v>
      </c>
      <c r="B62" s="549" t="s">
        <v>576</v>
      </c>
      <c r="C62" s="162" t="s">
        <v>283</v>
      </c>
      <c r="D62" s="561">
        <v>147</v>
      </c>
      <c r="E62" s="31">
        <v>147</v>
      </c>
      <c r="F62" s="555">
        <v>375.3</v>
      </c>
      <c r="G62" s="555">
        <v>5.5E-2</v>
      </c>
      <c r="H62" s="555">
        <v>8.6999999999999997E-6</v>
      </c>
      <c r="I62" s="555">
        <v>81.3</v>
      </c>
      <c r="J62" s="555">
        <v>1.74</v>
      </c>
      <c r="K62" s="555">
        <v>2.3999999999999998E-3</v>
      </c>
      <c r="L62" s="555">
        <v>9.9000000000000005E-2</v>
      </c>
      <c r="M62" s="551">
        <v>1</v>
      </c>
      <c r="N62" s="552" t="s">
        <v>537</v>
      </c>
      <c r="O62" s="553">
        <v>5.4000000000000003E-3</v>
      </c>
      <c r="P62" s="553">
        <v>1.1E-5</v>
      </c>
      <c r="Q62" s="553">
        <v>7.0000000000000007E-2</v>
      </c>
      <c r="R62" s="554">
        <v>0.8</v>
      </c>
      <c r="X62" s="438"/>
    </row>
    <row r="63" spans="1:24" ht="11.25" customHeight="1" x14ac:dyDescent="0.2">
      <c r="A63" s="66" t="s">
        <v>130</v>
      </c>
      <c r="B63" s="549" t="s">
        <v>298</v>
      </c>
      <c r="C63" s="162" t="s">
        <v>283</v>
      </c>
      <c r="D63" s="561">
        <v>253</v>
      </c>
      <c r="E63" s="31">
        <v>253.13</v>
      </c>
      <c r="F63" s="555">
        <v>3190</v>
      </c>
      <c r="G63" s="555">
        <v>4.7E-2</v>
      </c>
      <c r="H63" s="555">
        <v>5.4999999999999999E-6</v>
      </c>
      <c r="I63" s="555">
        <v>3.1</v>
      </c>
      <c r="J63" s="555">
        <v>2.6E-7</v>
      </c>
      <c r="K63" s="555">
        <v>2.8E-11</v>
      </c>
      <c r="L63" s="555">
        <v>1.2E-9</v>
      </c>
      <c r="M63" s="551">
        <v>1</v>
      </c>
      <c r="N63" s="552">
        <v>0.1</v>
      </c>
      <c r="O63" s="553">
        <v>0.45</v>
      </c>
      <c r="P63" s="553">
        <v>3.4000000000000002E-4</v>
      </c>
      <c r="Q63" s="553" t="s">
        <v>537</v>
      </c>
      <c r="R63" s="557" t="s">
        <v>537</v>
      </c>
      <c r="X63" s="438"/>
    </row>
    <row r="64" spans="1:24" ht="11.25" customHeight="1" x14ac:dyDescent="0.2">
      <c r="A64" s="66" t="s">
        <v>119</v>
      </c>
      <c r="B64" s="549" t="s">
        <v>298</v>
      </c>
      <c r="C64" s="162" t="s">
        <v>283</v>
      </c>
      <c r="D64" s="561">
        <v>320</v>
      </c>
      <c r="E64" s="31">
        <v>320.05</v>
      </c>
      <c r="F64" s="555">
        <v>117500</v>
      </c>
      <c r="G64" s="555">
        <v>4.1000000000000002E-2</v>
      </c>
      <c r="H64" s="555">
        <v>4.6999999999999999E-6</v>
      </c>
      <c r="I64" s="555">
        <v>0.09</v>
      </c>
      <c r="J64" s="555">
        <v>1.3999999999999999E-6</v>
      </c>
      <c r="K64" s="555">
        <v>6.6000000000000003E-6</v>
      </c>
      <c r="L64" s="555">
        <v>2.7E-4</v>
      </c>
      <c r="M64" s="551">
        <v>1</v>
      </c>
      <c r="N64" s="552">
        <v>0.1</v>
      </c>
      <c r="O64" s="553">
        <v>0.24</v>
      </c>
      <c r="P64" s="553">
        <v>6.8999999999999997E-5</v>
      </c>
      <c r="Q64" s="553" t="s">
        <v>537</v>
      </c>
      <c r="R64" s="557" t="s">
        <v>537</v>
      </c>
      <c r="X64" s="438"/>
    </row>
    <row r="65" spans="1:24" ht="11.25" customHeight="1" x14ac:dyDescent="0.2">
      <c r="A65" s="66" t="s">
        <v>120</v>
      </c>
      <c r="B65" s="549" t="s">
        <v>577</v>
      </c>
      <c r="C65" s="162" t="s">
        <v>283</v>
      </c>
      <c r="D65" s="561">
        <v>318</v>
      </c>
      <c r="E65" s="31">
        <v>318.02999999999997</v>
      </c>
      <c r="F65" s="555">
        <v>117500</v>
      </c>
      <c r="G65" s="555">
        <v>2.3E-2</v>
      </c>
      <c r="H65" s="555">
        <v>5.9000000000000003E-6</v>
      </c>
      <c r="I65" s="555">
        <v>0.04</v>
      </c>
      <c r="J65" s="555">
        <v>6.0000000000000002E-6</v>
      </c>
      <c r="K65" s="555">
        <v>4.1999999999999998E-5</v>
      </c>
      <c r="L65" s="555">
        <v>1.6999999999999999E-3</v>
      </c>
      <c r="M65" s="551">
        <v>1</v>
      </c>
      <c r="N65" s="552" t="s">
        <v>537</v>
      </c>
      <c r="O65" s="553">
        <v>0.34</v>
      </c>
      <c r="P65" s="553">
        <v>9.7E-5</v>
      </c>
      <c r="Q65" s="553" t="s">
        <v>537</v>
      </c>
      <c r="R65" s="557" t="s">
        <v>537</v>
      </c>
      <c r="X65" s="438"/>
    </row>
    <row r="66" spans="1:24" ht="11.25" customHeight="1" x14ac:dyDescent="0.2">
      <c r="A66" s="66" t="s">
        <v>121</v>
      </c>
      <c r="B66" s="549" t="s">
        <v>298</v>
      </c>
      <c r="C66" s="162" t="s">
        <v>283</v>
      </c>
      <c r="D66" s="561">
        <v>354</v>
      </c>
      <c r="E66" s="31">
        <v>354.49</v>
      </c>
      <c r="F66" s="555">
        <v>168600</v>
      </c>
      <c r="G66" s="555">
        <v>3.7999999999999999E-2</v>
      </c>
      <c r="H66" s="555">
        <v>4.4000000000000002E-6</v>
      </c>
      <c r="I66" s="555">
        <v>5.4999999999999997E-3</v>
      </c>
      <c r="J66" s="555">
        <v>1.6E-7</v>
      </c>
      <c r="K66" s="555">
        <v>8.3000000000000002E-6</v>
      </c>
      <c r="L66" s="555">
        <v>3.4000000000000002E-4</v>
      </c>
      <c r="M66" s="551">
        <v>1</v>
      </c>
      <c r="N66" s="552">
        <v>0.03</v>
      </c>
      <c r="O66" s="553">
        <v>0.34</v>
      </c>
      <c r="P66" s="553">
        <v>9.7E-5</v>
      </c>
      <c r="Q66" s="553">
        <v>5.0000000000000001E-4</v>
      </c>
      <c r="R66" s="557" t="s">
        <v>537</v>
      </c>
      <c r="X66" s="438"/>
    </row>
    <row r="67" spans="1:24" ht="11.25" customHeight="1" x14ac:dyDescent="0.2">
      <c r="A67" s="66" t="s">
        <v>135</v>
      </c>
      <c r="B67" s="549" t="s">
        <v>576</v>
      </c>
      <c r="C67" s="162" t="s">
        <v>297</v>
      </c>
      <c r="D67" s="561">
        <v>99</v>
      </c>
      <c r="E67" s="31">
        <v>98.96</v>
      </c>
      <c r="F67" s="555">
        <v>31.82</v>
      </c>
      <c r="G67" s="555">
        <v>8.4000000000000005E-2</v>
      </c>
      <c r="H67" s="555">
        <v>1.1E-5</v>
      </c>
      <c r="I67" s="555">
        <v>5040</v>
      </c>
      <c r="J67" s="555">
        <v>227.3</v>
      </c>
      <c r="K67" s="555">
        <v>5.5999999999999999E-3</v>
      </c>
      <c r="L67" s="555">
        <v>0.23</v>
      </c>
      <c r="M67" s="551">
        <v>1</v>
      </c>
      <c r="N67" s="552" t="s">
        <v>537</v>
      </c>
      <c r="O67" s="553">
        <v>5.7000000000000002E-3</v>
      </c>
      <c r="P67" s="553">
        <v>1.5999999999999999E-6</v>
      </c>
      <c r="Q67" s="553">
        <v>0.2</v>
      </c>
      <c r="R67" s="554">
        <v>0.8</v>
      </c>
      <c r="X67" s="438"/>
    </row>
    <row r="68" spans="1:24" ht="11.25" customHeight="1" x14ac:dyDescent="0.2">
      <c r="A68" s="66" t="s">
        <v>136</v>
      </c>
      <c r="B68" s="549" t="s">
        <v>576</v>
      </c>
      <c r="C68" s="162" t="s">
        <v>297</v>
      </c>
      <c r="D68" s="561">
        <v>99</v>
      </c>
      <c r="E68" s="31">
        <v>98.96</v>
      </c>
      <c r="F68" s="555">
        <v>39.6</v>
      </c>
      <c r="G68" s="555">
        <v>8.5999999999999993E-2</v>
      </c>
      <c r="H68" s="555">
        <v>1.1E-5</v>
      </c>
      <c r="I68" s="555">
        <v>8600</v>
      </c>
      <c r="J68" s="555">
        <v>79</v>
      </c>
      <c r="K68" s="555">
        <v>1.1999999999999999E-3</v>
      </c>
      <c r="L68" s="555">
        <v>4.8000000000000001E-2</v>
      </c>
      <c r="M68" s="551">
        <v>1</v>
      </c>
      <c r="N68" s="552" t="s">
        <v>537</v>
      </c>
      <c r="O68" s="553">
        <v>9.0999999999999998E-2</v>
      </c>
      <c r="P68" s="553">
        <v>2.5999999999999998E-5</v>
      </c>
      <c r="Q68" s="553">
        <v>6.0000000000000001E-3</v>
      </c>
      <c r="R68" s="554">
        <v>7.0000000000000001E-3</v>
      </c>
      <c r="X68" s="438"/>
    </row>
    <row r="69" spans="1:24" ht="11.25" customHeight="1" x14ac:dyDescent="0.2">
      <c r="A69" s="66" t="s">
        <v>318</v>
      </c>
      <c r="B69" s="549" t="s">
        <v>576</v>
      </c>
      <c r="C69" s="162" t="s">
        <v>297</v>
      </c>
      <c r="D69" s="561">
        <v>97</v>
      </c>
      <c r="E69" s="31">
        <v>96.94</v>
      </c>
      <c r="F69" s="555">
        <v>31.82</v>
      </c>
      <c r="G69" s="555">
        <v>8.5999999999999993E-2</v>
      </c>
      <c r="H69" s="555">
        <v>1.1E-5</v>
      </c>
      <c r="I69" s="555">
        <v>2420</v>
      </c>
      <c r="J69" s="555">
        <v>600</v>
      </c>
      <c r="K69" s="555">
        <v>2.5999999999999999E-2</v>
      </c>
      <c r="L69" s="555">
        <v>1.1000000000000001</v>
      </c>
      <c r="M69" s="551">
        <v>1</v>
      </c>
      <c r="N69" s="552" t="s">
        <v>537</v>
      </c>
      <c r="O69" s="553" t="s">
        <v>537</v>
      </c>
      <c r="P69" s="553" t="s">
        <v>537</v>
      </c>
      <c r="Q69" s="553">
        <v>0.05</v>
      </c>
      <c r="R69" s="554">
        <v>0.2</v>
      </c>
      <c r="X69" s="438"/>
    </row>
    <row r="70" spans="1:24" ht="11.25" customHeight="1" x14ac:dyDescent="0.2">
      <c r="A70" s="66" t="s">
        <v>319</v>
      </c>
      <c r="B70" s="549" t="s">
        <v>576</v>
      </c>
      <c r="C70" s="162" t="s">
        <v>297</v>
      </c>
      <c r="D70" s="561">
        <v>97</v>
      </c>
      <c r="E70" s="31">
        <v>96.94</v>
      </c>
      <c r="F70" s="555">
        <v>39.6</v>
      </c>
      <c r="G70" s="555">
        <v>8.7999999999999995E-2</v>
      </c>
      <c r="H70" s="555">
        <v>1.1E-5</v>
      </c>
      <c r="I70" s="555">
        <v>6410</v>
      </c>
      <c r="J70" s="555">
        <v>200</v>
      </c>
      <c r="K70" s="555">
        <v>4.1000000000000003E-3</v>
      </c>
      <c r="L70" s="555">
        <v>0.17</v>
      </c>
      <c r="M70" s="551">
        <v>1</v>
      </c>
      <c r="N70" s="552" t="s">
        <v>537</v>
      </c>
      <c r="O70" s="553" t="s">
        <v>537</v>
      </c>
      <c r="P70" s="553" t="s">
        <v>537</v>
      </c>
      <c r="Q70" s="553">
        <v>2E-3</v>
      </c>
      <c r="R70" s="554">
        <v>8.0000000000000002E-3</v>
      </c>
      <c r="X70" s="438"/>
    </row>
    <row r="71" spans="1:24" ht="11.25" customHeight="1" x14ac:dyDescent="0.2">
      <c r="A71" s="66" t="s">
        <v>131</v>
      </c>
      <c r="B71" s="549" t="s">
        <v>576</v>
      </c>
      <c r="C71" s="162" t="s">
        <v>297</v>
      </c>
      <c r="D71" s="561">
        <v>97</v>
      </c>
      <c r="E71" s="31">
        <v>96.94</v>
      </c>
      <c r="F71" s="555">
        <v>39.6</v>
      </c>
      <c r="G71" s="555">
        <v>8.7999999999999995E-2</v>
      </c>
      <c r="H71" s="555">
        <v>1.1E-5</v>
      </c>
      <c r="I71" s="555">
        <v>4520</v>
      </c>
      <c r="J71" s="555">
        <v>331</v>
      </c>
      <c r="K71" s="555">
        <v>9.4000000000000004E-3</v>
      </c>
      <c r="L71" s="555">
        <v>0.38</v>
      </c>
      <c r="M71" s="551">
        <v>1</v>
      </c>
      <c r="N71" s="552" t="s">
        <v>537</v>
      </c>
      <c r="O71" s="553" t="s">
        <v>537</v>
      </c>
      <c r="P71" s="553" t="s">
        <v>537</v>
      </c>
      <c r="Q71" s="553">
        <v>0.02</v>
      </c>
      <c r="R71" s="554">
        <v>0.08</v>
      </c>
      <c r="X71" s="438"/>
    </row>
    <row r="72" spans="1:24" ht="11.25" customHeight="1" x14ac:dyDescent="0.2">
      <c r="A72" s="66" t="s">
        <v>301</v>
      </c>
      <c r="B72" s="549" t="s">
        <v>298</v>
      </c>
      <c r="C72" s="162" t="s">
        <v>283</v>
      </c>
      <c r="D72" s="561">
        <v>163</v>
      </c>
      <c r="E72" s="31">
        <v>163</v>
      </c>
      <c r="F72" s="555">
        <v>147</v>
      </c>
      <c r="G72" s="555">
        <v>4.9000000000000002E-2</v>
      </c>
      <c r="H72" s="555">
        <v>8.6999999999999997E-6</v>
      </c>
      <c r="I72" s="555">
        <v>5550</v>
      </c>
      <c r="J72" s="555">
        <v>0.09</v>
      </c>
      <c r="K72" s="555">
        <v>4.3000000000000003E-6</v>
      </c>
      <c r="L72" s="555">
        <v>1.8000000000000001E-4</v>
      </c>
      <c r="M72" s="551">
        <v>1</v>
      </c>
      <c r="N72" s="552">
        <v>0.1</v>
      </c>
      <c r="O72" s="553" t="s">
        <v>537</v>
      </c>
      <c r="P72" s="553" t="s">
        <v>537</v>
      </c>
      <c r="Q72" s="553">
        <v>3.0000000000000001E-3</v>
      </c>
      <c r="R72" s="557" t="s">
        <v>537</v>
      </c>
      <c r="X72" s="438"/>
    </row>
    <row r="73" spans="1:24" ht="11.25" customHeight="1" x14ac:dyDescent="0.2">
      <c r="A73" s="66" t="s">
        <v>367</v>
      </c>
      <c r="B73" s="549" t="s">
        <v>298</v>
      </c>
      <c r="C73" s="162" t="s">
        <v>283</v>
      </c>
      <c r="D73" s="561">
        <v>221</v>
      </c>
      <c r="E73" s="31">
        <v>221.04</v>
      </c>
      <c r="F73" s="555">
        <v>29.63</v>
      </c>
      <c r="G73" s="555">
        <v>2.8000000000000001E-2</v>
      </c>
      <c r="H73" s="555">
        <v>7.3000000000000004E-6</v>
      </c>
      <c r="I73" s="555">
        <v>677</v>
      </c>
      <c r="J73" s="555">
        <v>8.2999999999999998E-5</v>
      </c>
      <c r="K73" s="555">
        <v>3.5000000000000002E-8</v>
      </c>
      <c r="L73" s="555">
        <v>1.3999999999999999E-6</v>
      </c>
      <c r="M73" s="551">
        <v>1</v>
      </c>
      <c r="N73" s="552">
        <v>0.05</v>
      </c>
      <c r="O73" s="553" t="s">
        <v>537</v>
      </c>
      <c r="P73" s="553" t="s">
        <v>537</v>
      </c>
      <c r="Q73" s="553">
        <v>0.01</v>
      </c>
      <c r="R73" s="557" t="s">
        <v>537</v>
      </c>
      <c r="X73" s="438"/>
    </row>
    <row r="74" spans="1:24" ht="11.25" customHeight="1" x14ac:dyDescent="0.2">
      <c r="A74" s="66" t="s">
        <v>302</v>
      </c>
      <c r="B74" s="549" t="s">
        <v>576</v>
      </c>
      <c r="C74" s="162" t="s">
        <v>297</v>
      </c>
      <c r="D74" s="561">
        <v>113</v>
      </c>
      <c r="E74" s="31">
        <v>112.99</v>
      </c>
      <c r="F74" s="555">
        <v>60.7</v>
      </c>
      <c r="G74" s="555">
        <v>7.2999999999999995E-2</v>
      </c>
      <c r="H74" s="555">
        <v>9.7000000000000003E-6</v>
      </c>
      <c r="I74" s="555">
        <v>2800</v>
      </c>
      <c r="J74" s="555">
        <v>53.3</v>
      </c>
      <c r="K74" s="555">
        <v>2.8E-3</v>
      </c>
      <c r="L74" s="555">
        <v>0.12</v>
      </c>
      <c r="M74" s="551">
        <v>1</v>
      </c>
      <c r="N74" s="552" t="s">
        <v>537</v>
      </c>
      <c r="O74" s="553">
        <v>3.6999999999999998E-2</v>
      </c>
      <c r="P74" s="559">
        <v>3.7000000000000002E-6</v>
      </c>
      <c r="Q74" s="553">
        <v>0.04</v>
      </c>
      <c r="R74" s="554">
        <v>4.0000000000000001E-3</v>
      </c>
      <c r="X74" s="438"/>
    </row>
    <row r="75" spans="1:24" ht="11.25" customHeight="1" x14ac:dyDescent="0.2">
      <c r="A75" s="66" t="s">
        <v>320</v>
      </c>
      <c r="B75" s="549" t="s">
        <v>576</v>
      </c>
      <c r="C75" s="162" t="s">
        <v>297</v>
      </c>
      <c r="D75" s="561">
        <v>111</v>
      </c>
      <c r="E75" s="31">
        <v>110.97</v>
      </c>
      <c r="F75" s="555">
        <v>72.17</v>
      </c>
      <c r="G75" s="555">
        <v>7.5999999999999998E-2</v>
      </c>
      <c r="H75" s="555">
        <v>1.0000000000000001E-5</v>
      </c>
      <c r="I75" s="555">
        <v>2800</v>
      </c>
      <c r="J75" s="555">
        <v>34</v>
      </c>
      <c r="K75" s="555">
        <v>3.5999999999999999E-3</v>
      </c>
      <c r="L75" s="555">
        <v>0.15</v>
      </c>
      <c r="M75" s="551">
        <v>1</v>
      </c>
      <c r="N75" s="552" t="s">
        <v>537</v>
      </c>
      <c r="O75" s="553">
        <v>0.1</v>
      </c>
      <c r="P75" s="553">
        <v>3.9999999999999998E-6</v>
      </c>
      <c r="Q75" s="553">
        <v>0.03</v>
      </c>
      <c r="R75" s="554">
        <v>0.02</v>
      </c>
      <c r="X75" s="438"/>
    </row>
    <row r="76" spans="1:24" ht="11.25" customHeight="1" x14ac:dyDescent="0.2">
      <c r="A76" s="66" t="s">
        <v>303</v>
      </c>
      <c r="B76" s="549" t="s">
        <v>298</v>
      </c>
      <c r="C76" s="162" t="s">
        <v>283</v>
      </c>
      <c r="D76" s="561">
        <v>381</v>
      </c>
      <c r="E76" s="31">
        <v>380.91</v>
      </c>
      <c r="F76" s="555">
        <v>20090</v>
      </c>
      <c r="G76" s="555">
        <v>2.3E-2</v>
      </c>
      <c r="H76" s="555">
        <v>6.0000000000000002E-6</v>
      </c>
      <c r="I76" s="555">
        <v>0.19500000000000001</v>
      </c>
      <c r="J76" s="555">
        <v>5.9000000000000003E-6</v>
      </c>
      <c r="K76" s="555">
        <v>1.0000000000000001E-5</v>
      </c>
      <c r="L76" s="555">
        <v>4.0999999999999999E-4</v>
      </c>
      <c r="M76" s="551">
        <v>1</v>
      </c>
      <c r="N76" s="552">
        <v>0.1</v>
      </c>
      <c r="O76" s="559">
        <v>7</v>
      </c>
      <c r="P76" s="553">
        <v>4.5999999999999999E-3</v>
      </c>
      <c r="Q76" s="559">
        <v>8.0000000000000007E-5</v>
      </c>
      <c r="R76" s="563" t="s">
        <v>537</v>
      </c>
      <c r="X76" s="438"/>
    </row>
    <row r="77" spans="1:24" ht="11.25" customHeight="1" x14ac:dyDescent="0.2">
      <c r="A77" s="66" t="s">
        <v>304</v>
      </c>
      <c r="B77" s="549" t="s">
        <v>298</v>
      </c>
      <c r="C77" s="162" t="s">
        <v>283</v>
      </c>
      <c r="D77" s="561">
        <v>222</v>
      </c>
      <c r="E77" s="31">
        <v>222.24</v>
      </c>
      <c r="F77" s="555">
        <v>104.9</v>
      </c>
      <c r="G77" s="555">
        <v>2.5999999999999999E-2</v>
      </c>
      <c r="H77" s="555">
        <v>6.7000000000000002E-6</v>
      </c>
      <c r="I77" s="555">
        <v>1080</v>
      </c>
      <c r="J77" s="555">
        <v>2.0999999999999999E-3</v>
      </c>
      <c r="K77" s="555">
        <v>6.0999999999999998E-7</v>
      </c>
      <c r="L77" s="555">
        <v>2.5000000000000001E-5</v>
      </c>
      <c r="M77" s="551">
        <v>1</v>
      </c>
      <c r="N77" s="552">
        <v>0.1</v>
      </c>
      <c r="O77" s="553" t="s">
        <v>537</v>
      </c>
      <c r="P77" s="553" t="s">
        <v>537</v>
      </c>
      <c r="Q77" s="553">
        <v>0.8</v>
      </c>
      <c r="R77" s="557" t="s">
        <v>537</v>
      </c>
      <c r="X77" s="438"/>
    </row>
    <row r="78" spans="1:24" ht="11.25" customHeight="1" x14ac:dyDescent="0.2">
      <c r="A78" s="66" t="s">
        <v>306</v>
      </c>
      <c r="B78" s="549" t="s">
        <v>298</v>
      </c>
      <c r="C78" s="162" t="s">
        <v>283</v>
      </c>
      <c r="D78" s="561">
        <v>122</v>
      </c>
      <c r="E78" s="31">
        <v>122.17</v>
      </c>
      <c r="F78" s="555">
        <v>491.8</v>
      </c>
      <c r="G78" s="555">
        <v>6.2E-2</v>
      </c>
      <c r="H78" s="555">
        <v>8.3000000000000002E-6</v>
      </c>
      <c r="I78" s="555">
        <v>7870</v>
      </c>
      <c r="J78" s="555">
        <v>0.1</v>
      </c>
      <c r="K78" s="555">
        <v>9.5000000000000001E-7</v>
      </c>
      <c r="L78" s="555">
        <v>3.8999999999999999E-5</v>
      </c>
      <c r="M78" s="551">
        <v>1</v>
      </c>
      <c r="N78" s="552">
        <v>0.1</v>
      </c>
      <c r="O78" s="553" t="s">
        <v>537</v>
      </c>
      <c r="P78" s="553" t="s">
        <v>537</v>
      </c>
      <c r="Q78" s="553">
        <v>0.02</v>
      </c>
      <c r="R78" s="554" t="s">
        <v>537</v>
      </c>
      <c r="X78" s="438"/>
    </row>
    <row r="79" spans="1:24" ht="11.25" customHeight="1" x14ac:dyDescent="0.2">
      <c r="A79" s="66" t="s">
        <v>305</v>
      </c>
      <c r="B79" s="549" t="s">
        <v>298</v>
      </c>
      <c r="C79" s="162" t="s">
        <v>283</v>
      </c>
      <c r="D79" s="561">
        <v>194</v>
      </c>
      <c r="E79" s="63">
        <v>194</v>
      </c>
      <c r="F79" s="550">
        <v>140</v>
      </c>
      <c r="G79" s="550"/>
      <c r="H79" s="550"/>
      <c r="I79" s="550">
        <v>5000</v>
      </c>
      <c r="J79" s="550">
        <v>0.308</v>
      </c>
      <c r="K79" s="550">
        <v>1.05E-7</v>
      </c>
      <c r="L79" s="550">
        <v>4.3100000000000002E-6</v>
      </c>
      <c r="M79" s="551">
        <v>1</v>
      </c>
      <c r="N79" s="564">
        <v>0.1</v>
      </c>
      <c r="O79" s="553" t="s">
        <v>537</v>
      </c>
      <c r="P79" s="553" t="s">
        <v>537</v>
      </c>
      <c r="Q79" s="555">
        <v>10</v>
      </c>
      <c r="R79" s="557" t="s">
        <v>537</v>
      </c>
      <c r="X79" s="438"/>
    </row>
    <row r="80" spans="1:24" ht="11.25" customHeight="1" x14ac:dyDescent="0.2">
      <c r="A80" s="66" t="s">
        <v>368</v>
      </c>
      <c r="B80" s="549" t="s">
        <v>298</v>
      </c>
      <c r="C80" s="162" t="s">
        <v>283</v>
      </c>
      <c r="D80" s="561">
        <v>168</v>
      </c>
      <c r="E80" s="31">
        <v>168.11</v>
      </c>
      <c r="F80" s="555">
        <v>351.6</v>
      </c>
      <c r="G80" s="555">
        <v>4.8000000000000001E-2</v>
      </c>
      <c r="H80" s="555">
        <v>9.2E-6</v>
      </c>
      <c r="I80" s="555">
        <v>533</v>
      </c>
      <c r="J80" s="555">
        <v>8.9999999999999998E-4</v>
      </c>
      <c r="K80" s="555">
        <v>4.9000000000000002E-8</v>
      </c>
      <c r="L80" s="555">
        <v>1.9999999999999999E-6</v>
      </c>
      <c r="M80" s="551">
        <v>1</v>
      </c>
      <c r="N80" s="552">
        <v>0.1</v>
      </c>
      <c r="O80" s="553" t="s">
        <v>537</v>
      </c>
      <c r="P80" s="553" t="s">
        <v>537</v>
      </c>
      <c r="Q80" s="553">
        <v>1E-4</v>
      </c>
      <c r="R80" s="557" t="s">
        <v>537</v>
      </c>
      <c r="X80" s="438"/>
    </row>
    <row r="81" spans="1:24" ht="11.25" customHeight="1" x14ac:dyDescent="0.2">
      <c r="A81" s="66" t="s">
        <v>321</v>
      </c>
      <c r="B81" s="549" t="s">
        <v>298</v>
      </c>
      <c r="C81" s="162" t="s">
        <v>283</v>
      </c>
      <c r="D81" s="561">
        <v>184</v>
      </c>
      <c r="E81" s="31">
        <v>184.11</v>
      </c>
      <c r="F81" s="555">
        <v>460.8</v>
      </c>
      <c r="G81" s="555">
        <v>4.1000000000000002E-2</v>
      </c>
      <c r="H81" s="555">
        <v>9.0999999999999993E-6</v>
      </c>
      <c r="I81" s="555">
        <v>2790</v>
      </c>
      <c r="J81" s="555">
        <v>3.8999999999999999E-4</v>
      </c>
      <c r="K81" s="555">
        <v>8.6000000000000002E-8</v>
      </c>
      <c r="L81" s="555">
        <v>3.4999999999999999E-6</v>
      </c>
      <c r="M81" s="551">
        <v>1</v>
      </c>
      <c r="N81" s="552">
        <v>0.1</v>
      </c>
      <c r="O81" s="553" t="s">
        <v>537</v>
      </c>
      <c r="P81" s="553" t="s">
        <v>537</v>
      </c>
      <c r="Q81" s="553">
        <v>2E-3</v>
      </c>
      <c r="R81" s="557" t="s">
        <v>537</v>
      </c>
      <c r="X81" s="438"/>
    </row>
    <row r="82" spans="1:24" ht="11.25" customHeight="1" x14ac:dyDescent="0.2">
      <c r="A82" s="66" t="s">
        <v>369</v>
      </c>
      <c r="B82" s="549" t="s">
        <v>298</v>
      </c>
      <c r="C82" s="162" t="s">
        <v>283</v>
      </c>
      <c r="D82" s="561">
        <v>182</v>
      </c>
      <c r="E82" s="31">
        <v>182.14</v>
      </c>
      <c r="F82" s="555">
        <v>575.6</v>
      </c>
      <c r="G82" s="555">
        <v>3.7999999999999999E-2</v>
      </c>
      <c r="H82" s="555">
        <v>7.9000000000000006E-6</v>
      </c>
      <c r="I82" s="555">
        <v>200</v>
      </c>
      <c r="J82" s="555">
        <v>1.4999999999999999E-4</v>
      </c>
      <c r="K82" s="555">
        <v>5.4E-8</v>
      </c>
      <c r="L82" s="555">
        <v>2.2000000000000001E-6</v>
      </c>
      <c r="M82" s="551">
        <v>1</v>
      </c>
      <c r="N82" s="552">
        <v>0.10199999999999999</v>
      </c>
      <c r="O82" s="553">
        <v>0.31</v>
      </c>
      <c r="P82" s="553">
        <v>8.8999999999999995E-5</v>
      </c>
      <c r="Q82" s="553">
        <v>2E-3</v>
      </c>
      <c r="R82" s="557" t="s">
        <v>537</v>
      </c>
      <c r="X82" s="438"/>
    </row>
    <row r="83" spans="1:24" ht="11.25" customHeight="1" x14ac:dyDescent="0.2">
      <c r="A83" s="66" t="s">
        <v>370</v>
      </c>
      <c r="B83" s="549" t="s">
        <v>298</v>
      </c>
      <c r="C83" s="162" t="s">
        <v>283</v>
      </c>
      <c r="D83" s="561">
        <v>182</v>
      </c>
      <c r="E83" s="31">
        <v>182.14</v>
      </c>
      <c r="F83" s="555">
        <v>587.4</v>
      </c>
      <c r="G83" s="555">
        <v>3.6999999999999998E-2</v>
      </c>
      <c r="H83" s="555">
        <v>7.7999999999999999E-6</v>
      </c>
      <c r="I83" s="555">
        <v>182</v>
      </c>
      <c r="J83" s="555">
        <v>5.6999999999999998E-4</v>
      </c>
      <c r="K83" s="555">
        <v>7.5000000000000002E-7</v>
      </c>
      <c r="L83" s="555">
        <v>3.1000000000000001E-5</v>
      </c>
      <c r="M83" s="551">
        <v>1</v>
      </c>
      <c r="N83" s="552">
        <v>9.9000000000000005E-2</v>
      </c>
      <c r="O83" s="553">
        <v>1.5</v>
      </c>
      <c r="P83" s="553" t="s">
        <v>537</v>
      </c>
      <c r="Q83" s="553">
        <v>2.9999999999999997E-4</v>
      </c>
      <c r="R83" s="557" t="s">
        <v>537</v>
      </c>
      <c r="X83" s="438"/>
    </row>
    <row r="84" spans="1:24" ht="11.25" customHeight="1" x14ac:dyDescent="0.2">
      <c r="A84" s="66" t="s">
        <v>206</v>
      </c>
      <c r="B84" s="549" t="s">
        <v>576</v>
      </c>
      <c r="C84" s="162" t="s">
        <v>297</v>
      </c>
      <c r="D84" s="561">
        <v>88</v>
      </c>
      <c r="E84" s="31">
        <v>88.11</v>
      </c>
      <c r="F84" s="555">
        <v>2.6</v>
      </c>
      <c r="G84" s="555">
        <v>8.6999999999999994E-2</v>
      </c>
      <c r="H84" s="555">
        <v>1.1E-5</v>
      </c>
      <c r="I84" s="555">
        <v>1000000</v>
      </c>
      <c r="J84" s="555">
        <v>38</v>
      </c>
      <c r="K84" s="555">
        <v>4.7999999999999998E-6</v>
      </c>
      <c r="L84" s="555">
        <v>2.0000000000000001E-4</v>
      </c>
      <c r="M84" s="551">
        <v>1</v>
      </c>
      <c r="N84" s="552" t="s">
        <v>537</v>
      </c>
      <c r="O84" s="553">
        <v>0.1</v>
      </c>
      <c r="P84" s="553">
        <v>5.0000000000000004E-6</v>
      </c>
      <c r="Q84" s="553">
        <v>0.03</v>
      </c>
      <c r="R84" s="554">
        <v>0.03</v>
      </c>
      <c r="X84" s="438"/>
    </row>
    <row r="85" spans="1:24" ht="11.25" customHeight="1" x14ac:dyDescent="0.2">
      <c r="A85" s="66" t="s">
        <v>80</v>
      </c>
      <c r="B85" s="549" t="s">
        <v>577</v>
      </c>
      <c r="C85" s="162" t="s">
        <v>283</v>
      </c>
      <c r="D85" s="561">
        <v>356</v>
      </c>
      <c r="E85" s="31">
        <v>356.42</v>
      </c>
      <c r="F85" s="555">
        <v>249100</v>
      </c>
      <c r="G85" s="555">
        <v>4.7E-2</v>
      </c>
      <c r="H85" s="555">
        <v>6.8000000000000001E-6</v>
      </c>
      <c r="I85" s="555">
        <v>2.0000000000000001E-4</v>
      </c>
      <c r="J85" s="555">
        <v>1.5E-9</v>
      </c>
      <c r="K85" s="555">
        <v>5.0000000000000002E-5</v>
      </c>
      <c r="L85" s="555">
        <v>2E-3</v>
      </c>
      <c r="M85" s="551">
        <v>1</v>
      </c>
      <c r="N85" s="552">
        <v>0.03</v>
      </c>
      <c r="O85" s="553">
        <v>130000</v>
      </c>
      <c r="P85" s="553">
        <v>38</v>
      </c>
      <c r="Q85" s="553">
        <v>3.3000000000000002E-9</v>
      </c>
      <c r="R85" s="554">
        <v>4.0000000000000001E-8</v>
      </c>
      <c r="X85" s="438"/>
    </row>
    <row r="86" spans="1:24" ht="11.25" customHeight="1" x14ac:dyDescent="0.2">
      <c r="A86" s="66" t="s">
        <v>371</v>
      </c>
      <c r="B86" s="549" t="s">
        <v>298</v>
      </c>
      <c r="C86" s="162" t="s">
        <v>283</v>
      </c>
      <c r="D86" s="561">
        <v>233</v>
      </c>
      <c r="E86" s="31">
        <v>233.1</v>
      </c>
      <c r="F86" s="555">
        <v>109.1</v>
      </c>
      <c r="G86" s="555">
        <v>0.05</v>
      </c>
      <c r="H86" s="555">
        <v>5.9000000000000003E-6</v>
      </c>
      <c r="I86" s="555">
        <v>42</v>
      </c>
      <c r="J86" s="555">
        <v>6.8999999999999996E-8</v>
      </c>
      <c r="K86" s="555">
        <v>5.0000000000000003E-10</v>
      </c>
      <c r="L86" s="555">
        <v>2.0999999999999999E-8</v>
      </c>
      <c r="M86" s="551">
        <v>1</v>
      </c>
      <c r="N86" s="552">
        <v>0.1</v>
      </c>
      <c r="O86" s="553" t="s">
        <v>537</v>
      </c>
      <c r="P86" s="553" t="s">
        <v>537</v>
      </c>
      <c r="Q86" s="553">
        <v>2E-3</v>
      </c>
      <c r="R86" s="557" t="s">
        <v>537</v>
      </c>
      <c r="X86" s="438"/>
    </row>
    <row r="87" spans="1:24" ht="11.25" customHeight="1" x14ac:dyDescent="0.2">
      <c r="A87" s="66" t="s">
        <v>126</v>
      </c>
      <c r="B87" s="549" t="s">
        <v>577</v>
      </c>
      <c r="C87" s="162" t="s">
        <v>283</v>
      </c>
      <c r="D87" s="561">
        <v>407</v>
      </c>
      <c r="E87" s="31">
        <v>406.92</v>
      </c>
      <c r="F87" s="555">
        <v>6761</v>
      </c>
      <c r="G87" s="555">
        <v>2.1999999999999999E-2</v>
      </c>
      <c r="H87" s="555">
        <v>5.8000000000000004E-6</v>
      </c>
      <c r="I87" s="555">
        <v>0.32500000000000001</v>
      </c>
      <c r="J87" s="555">
        <v>1.6999999999999999E-7</v>
      </c>
      <c r="K87" s="555">
        <v>6.4999999999999994E-5</v>
      </c>
      <c r="L87" s="555">
        <v>2.7000000000000001E-3</v>
      </c>
      <c r="M87" s="551">
        <v>1</v>
      </c>
      <c r="N87" s="552" t="s">
        <v>537</v>
      </c>
      <c r="O87" s="553" t="s">
        <v>537</v>
      </c>
      <c r="P87" s="553" t="s">
        <v>537</v>
      </c>
      <c r="Q87" s="553">
        <v>6.0000000000000001E-3</v>
      </c>
      <c r="R87" s="557" t="s">
        <v>537</v>
      </c>
      <c r="X87" s="438"/>
    </row>
    <row r="88" spans="1:24" ht="11.25" customHeight="1" x14ac:dyDescent="0.2">
      <c r="A88" s="66" t="s">
        <v>149</v>
      </c>
      <c r="B88" s="549" t="s">
        <v>298</v>
      </c>
      <c r="C88" s="162" t="s">
        <v>283</v>
      </c>
      <c r="D88" s="561">
        <v>381</v>
      </c>
      <c r="E88" s="31">
        <v>380.91</v>
      </c>
      <c r="F88" s="555">
        <v>20090</v>
      </c>
      <c r="G88" s="555">
        <v>3.5999999999999997E-2</v>
      </c>
      <c r="H88" s="555">
        <v>4.1999999999999996E-6</v>
      </c>
      <c r="I88" s="555">
        <v>0.25</v>
      </c>
      <c r="J88" s="555">
        <v>3.0000000000000001E-6</v>
      </c>
      <c r="K88" s="555">
        <v>6.3999999999999997E-6</v>
      </c>
      <c r="L88" s="555">
        <v>2.5999999999999998E-4</v>
      </c>
      <c r="M88" s="551">
        <v>1</v>
      </c>
      <c r="N88" s="552">
        <v>0.1</v>
      </c>
      <c r="O88" s="553" t="s">
        <v>537</v>
      </c>
      <c r="P88" s="553" t="s">
        <v>537</v>
      </c>
      <c r="Q88" s="553">
        <v>2.9999999999999997E-4</v>
      </c>
      <c r="R88" s="557" t="s">
        <v>537</v>
      </c>
      <c r="X88" s="563"/>
    </row>
    <row r="89" spans="1:24" ht="11.25" customHeight="1" x14ac:dyDescent="0.2">
      <c r="A89" s="66" t="s">
        <v>307</v>
      </c>
      <c r="B89" s="549" t="s">
        <v>576</v>
      </c>
      <c r="C89" s="162" t="s">
        <v>297</v>
      </c>
      <c r="D89" s="561">
        <v>46</v>
      </c>
      <c r="E89" s="63">
        <v>46</v>
      </c>
      <c r="F89" s="550">
        <v>0.309</v>
      </c>
      <c r="G89" s="550"/>
      <c r="H89" s="550"/>
      <c r="I89" s="550">
        <v>1000000</v>
      </c>
      <c r="J89" s="550">
        <v>53</v>
      </c>
      <c r="K89" s="550">
        <v>6.2899999999999999E-6</v>
      </c>
      <c r="L89" s="550">
        <v>2.5799999999999998E-4</v>
      </c>
      <c r="M89" s="551">
        <v>1</v>
      </c>
      <c r="N89" s="552" t="s">
        <v>537</v>
      </c>
      <c r="O89" s="553" t="s">
        <v>537</v>
      </c>
      <c r="P89" s="553" t="s">
        <v>537</v>
      </c>
      <c r="Q89" s="555" t="s">
        <v>537</v>
      </c>
      <c r="R89" s="557" t="s">
        <v>537</v>
      </c>
      <c r="X89" s="438"/>
    </row>
    <row r="90" spans="1:24" ht="11.25" customHeight="1" x14ac:dyDescent="0.2">
      <c r="A90" s="66" t="s">
        <v>150</v>
      </c>
      <c r="B90" s="549" t="s">
        <v>576</v>
      </c>
      <c r="C90" s="162" t="s">
        <v>297</v>
      </c>
      <c r="D90" s="561">
        <v>106</v>
      </c>
      <c r="E90" s="31">
        <v>106.17</v>
      </c>
      <c r="F90" s="555">
        <v>446.1</v>
      </c>
      <c r="G90" s="555">
        <v>6.8000000000000005E-2</v>
      </c>
      <c r="H90" s="555">
        <v>8.4999999999999999E-6</v>
      </c>
      <c r="I90" s="555">
        <v>169</v>
      </c>
      <c r="J90" s="555">
        <v>9.6</v>
      </c>
      <c r="K90" s="555">
        <v>7.9000000000000008E-3</v>
      </c>
      <c r="L90" s="555">
        <v>0.32</v>
      </c>
      <c r="M90" s="551">
        <v>1</v>
      </c>
      <c r="N90" s="552" t="s">
        <v>537</v>
      </c>
      <c r="O90" s="553">
        <v>1.0999999999999999E-2</v>
      </c>
      <c r="P90" s="553">
        <v>2.5000000000000002E-6</v>
      </c>
      <c r="Q90" s="553">
        <v>0.1</v>
      </c>
      <c r="R90" s="554">
        <v>1</v>
      </c>
      <c r="X90" s="438"/>
    </row>
    <row r="91" spans="1:24" ht="11.25" customHeight="1" x14ac:dyDescent="0.2">
      <c r="A91" s="66" t="s">
        <v>151</v>
      </c>
      <c r="B91" s="549" t="s">
        <v>298</v>
      </c>
      <c r="C91" s="162" t="s">
        <v>283</v>
      </c>
      <c r="D91" s="561">
        <v>202</v>
      </c>
      <c r="E91" s="31">
        <v>202.26</v>
      </c>
      <c r="F91" s="555">
        <v>55450</v>
      </c>
      <c r="G91" s="555">
        <v>2.8000000000000001E-2</v>
      </c>
      <c r="H91" s="555">
        <v>7.1999999999999997E-6</v>
      </c>
      <c r="I91" s="555">
        <v>0.26</v>
      </c>
      <c r="J91" s="555">
        <v>9.2E-6</v>
      </c>
      <c r="K91" s="555">
        <v>8.8999999999999995E-6</v>
      </c>
      <c r="L91" s="555">
        <v>3.6000000000000002E-4</v>
      </c>
      <c r="M91" s="551">
        <v>1</v>
      </c>
      <c r="N91" s="552">
        <v>0.13</v>
      </c>
      <c r="O91" s="553" t="s">
        <v>537</v>
      </c>
      <c r="P91" s="553" t="s">
        <v>537</v>
      </c>
      <c r="Q91" s="553">
        <v>0.04</v>
      </c>
      <c r="R91" s="557" t="s">
        <v>537</v>
      </c>
      <c r="X91" s="438"/>
    </row>
    <row r="92" spans="1:24" ht="11.25" customHeight="1" x14ac:dyDescent="0.2">
      <c r="A92" s="66" t="s">
        <v>152</v>
      </c>
      <c r="B92" s="549" t="s">
        <v>576</v>
      </c>
      <c r="C92" s="162" t="s">
        <v>283</v>
      </c>
      <c r="D92" s="561">
        <v>166</v>
      </c>
      <c r="E92" s="31">
        <v>166.22</v>
      </c>
      <c r="F92" s="555">
        <v>9160</v>
      </c>
      <c r="G92" s="555">
        <v>4.3999999999999997E-2</v>
      </c>
      <c r="H92" s="555">
        <v>7.9000000000000006E-6</v>
      </c>
      <c r="I92" s="555">
        <v>1.69</v>
      </c>
      <c r="J92" s="555">
        <v>5.9999999999999995E-4</v>
      </c>
      <c r="K92" s="555">
        <v>9.6000000000000002E-5</v>
      </c>
      <c r="L92" s="555">
        <v>3.8999999999999998E-3</v>
      </c>
      <c r="M92" s="551">
        <v>1</v>
      </c>
      <c r="N92" s="552">
        <v>0.13</v>
      </c>
      <c r="O92" s="553" t="s">
        <v>537</v>
      </c>
      <c r="P92" s="553" t="s">
        <v>537</v>
      </c>
      <c r="Q92" s="553">
        <v>0.04</v>
      </c>
      <c r="R92" s="554">
        <v>0.16</v>
      </c>
      <c r="X92" s="438"/>
    </row>
    <row r="93" spans="1:24" ht="11.25" customHeight="1" x14ac:dyDescent="0.2">
      <c r="A93" s="66" t="s">
        <v>372</v>
      </c>
      <c r="B93" s="549" t="s">
        <v>298</v>
      </c>
      <c r="C93" s="162" t="s">
        <v>283</v>
      </c>
      <c r="D93" s="561">
        <v>169</v>
      </c>
      <c r="E93" s="31">
        <v>169.07</v>
      </c>
      <c r="F93" s="555">
        <v>2100</v>
      </c>
      <c r="G93" s="555">
        <v>6.2E-2</v>
      </c>
      <c r="H93" s="555">
        <v>7.3000000000000004E-6</v>
      </c>
      <c r="I93" s="555">
        <v>10500</v>
      </c>
      <c r="J93" s="555">
        <v>9.8000000000000004E-8</v>
      </c>
      <c r="K93" s="555">
        <v>2.0999999999999999E-12</v>
      </c>
      <c r="L93" s="555">
        <v>8.6E-11</v>
      </c>
      <c r="M93" s="551">
        <v>1</v>
      </c>
      <c r="N93" s="552">
        <v>0.1</v>
      </c>
      <c r="O93" s="553" t="s">
        <v>537</v>
      </c>
      <c r="P93" s="553" t="s">
        <v>537</v>
      </c>
      <c r="Q93" s="553">
        <v>0.1</v>
      </c>
      <c r="R93" s="557" t="s">
        <v>537</v>
      </c>
      <c r="X93" s="438"/>
    </row>
    <row r="94" spans="1:24" ht="11.25" customHeight="1" x14ac:dyDescent="0.2">
      <c r="A94" s="66" t="s">
        <v>153</v>
      </c>
      <c r="B94" s="549" t="s">
        <v>577</v>
      </c>
      <c r="C94" s="162" t="s">
        <v>283</v>
      </c>
      <c r="D94" s="561">
        <v>373</v>
      </c>
      <c r="E94" s="31">
        <v>373.32</v>
      </c>
      <c r="F94" s="555">
        <v>41260</v>
      </c>
      <c r="G94" s="555">
        <v>2.1999999999999999E-2</v>
      </c>
      <c r="H94" s="555">
        <v>5.6999999999999996E-6</v>
      </c>
      <c r="I94" s="555">
        <v>0.18</v>
      </c>
      <c r="J94" s="555">
        <v>4.0000000000000002E-4</v>
      </c>
      <c r="K94" s="555">
        <v>2.9E-4</v>
      </c>
      <c r="L94" s="555">
        <v>1.2E-2</v>
      </c>
      <c r="M94" s="551">
        <v>1</v>
      </c>
      <c r="N94" s="552" t="s">
        <v>537</v>
      </c>
      <c r="O94" s="553">
        <v>4.5</v>
      </c>
      <c r="P94" s="553">
        <v>1.2999999999999999E-3</v>
      </c>
      <c r="Q94" s="553">
        <v>5.0000000000000001E-4</v>
      </c>
      <c r="R94" s="557" t="s">
        <v>537</v>
      </c>
      <c r="X94" s="438"/>
    </row>
    <row r="95" spans="1:24" ht="11.25" customHeight="1" x14ac:dyDescent="0.2">
      <c r="A95" s="66" t="s">
        <v>154</v>
      </c>
      <c r="B95" s="549" t="s">
        <v>577</v>
      </c>
      <c r="C95" s="162" t="s">
        <v>283</v>
      </c>
      <c r="D95" s="561">
        <v>389</v>
      </c>
      <c r="E95" s="31">
        <v>389.32</v>
      </c>
      <c r="F95" s="555">
        <v>10110</v>
      </c>
      <c r="G95" s="555">
        <v>2.4E-2</v>
      </c>
      <c r="H95" s="555">
        <v>6.1999999999999999E-6</v>
      </c>
      <c r="I95" s="555">
        <v>0.2</v>
      </c>
      <c r="J95" s="555">
        <v>2.0000000000000002E-5</v>
      </c>
      <c r="K95" s="555">
        <v>2.0999999999999999E-5</v>
      </c>
      <c r="L95" s="555">
        <v>8.5999999999999998E-4</v>
      </c>
      <c r="M95" s="551">
        <v>1</v>
      </c>
      <c r="N95" s="552" t="s">
        <v>537</v>
      </c>
      <c r="O95" s="553">
        <v>9.1</v>
      </c>
      <c r="P95" s="553">
        <v>2.5999999999999999E-3</v>
      </c>
      <c r="Q95" s="553">
        <v>1.2999999999999999E-5</v>
      </c>
      <c r="R95" s="557" t="s">
        <v>537</v>
      </c>
      <c r="X95" s="438"/>
    </row>
    <row r="96" spans="1:24" ht="11.25" customHeight="1" x14ac:dyDescent="0.2">
      <c r="A96" s="66" t="s">
        <v>127</v>
      </c>
      <c r="B96" s="549" t="s">
        <v>577</v>
      </c>
      <c r="C96" s="162" t="s">
        <v>283</v>
      </c>
      <c r="D96" s="561">
        <v>285</v>
      </c>
      <c r="E96" s="31">
        <v>284.77999999999997</v>
      </c>
      <c r="F96" s="555">
        <v>6195</v>
      </c>
      <c r="G96" s="555">
        <v>2.9000000000000001E-2</v>
      </c>
      <c r="H96" s="555">
        <v>7.7999999999999999E-6</v>
      </c>
      <c r="I96" s="555">
        <v>6.1999999999999998E-3</v>
      </c>
      <c r="J96" s="555">
        <v>1.8E-5</v>
      </c>
      <c r="K96" s="555">
        <v>1.6999999999999999E-3</v>
      </c>
      <c r="L96" s="555">
        <v>7.0000000000000007E-2</v>
      </c>
      <c r="M96" s="551">
        <v>1</v>
      </c>
      <c r="N96" s="552" t="s">
        <v>537</v>
      </c>
      <c r="O96" s="553">
        <v>1.6</v>
      </c>
      <c r="P96" s="553">
        <v>4.6000000000000001E-4</v>
      </c>
      <c r="Q96" s="553">
        <v>8.0000000000000004E-4</v>
      </c>
      <c r="R96" s="557" t="s">
        <v>537</v>
      </c>
      <c r="X96" s="438"/>
    </row>
    <row r="97" spans="1:24" ht="11.25" customHeight="1" x14ac:dyDescent="0.2">
      <c r="A97" s="66" t="s">
        <v>155</v>
      </c>
      <c r="B97" s="549" t="s">
        <v>577</v>
      </c>
      <c r="C97" s="162" t="s">
        <v>283</v>
      </c>
      <c r="D97" s="561">
        <v>261</v>
      </c>
      <c r="E97" s="31">
        <v>260.76</v>
      </c>
      <c r="F97" s="555">
        <v>845.2</v>
      </c>
      <c r="G97" s="555">
        <v>2.7E-2</v>
      </c>
      <c r="H97" s="555">
        <v>6.9999999999999999E-6</v>
      </c>
      <c r="I97" s="555">
        <v>3.2</v>
      </c>
      <c r="J97" s="555">
        <v>0.22</v>
      </c>
      <c r="K97" s="555">
        <v>0.01</v>
      </c>
      <c r="L97" s="555">
        <v>0.42</v>
      </c>
      <c r="M97" s="551">
        <v>1</v>
      </c>
      <c r="N97" s="552" t="s">
        <v>537</v>
      </c>
      <c r="O97" s="553">
        <v>7.8E-2</v>
      </c>
      <c r="P97" s="553">
        <v>2.1999999999999999E-5</v>
      </c>
      <c r="Q97" s="553">
        <v>1E-3</v>
      </c>
      <c r="R97" s="557" t="s">
        <v>537</v>
      </c>
      <c r="X97" s="438"/>
    </row>
    <row r="98" spans="1:24" ht="11.25" customHeight="1" x14ac:dyDescent="0.2">
      <c r="A98" s="66" t="s">
        <v>122</v>
      </c>
      <c r="B98" s="549" t="s">
        <v>298</v>
      </c>
      <c r="C98" s="162" t="s">
        <v>283</v>
      </c>
      <c r="D98" s="561">
        <v>291</v>
      </c>
      <c r="E98" s="31">
        <v>290.83</v>
      </c>
      <c r="F98" s="555">
        <v>2807</v>
      </c>
      <c r="G98" s="555">
        <v>4.2999999999999997E-2</v>
      </c>
      <c r="H98" s="555">
        <v>5.1000000000000003E-6</v>
      </c>
      <c r="I98" s="555">
        <v>7.3</v>
      </c>
      <c r="J98" s="555">
        <v>4.1999999999999998E-5</v>
      </c>
      <c r="K98" s="555">
        <v>5.1000000000000003E-6</v>
      </c>
      <c r="L98" s="555">
        <v>2.1000000000000001E-4</v>
      </c>
      <c r="M98" s="551">
        <v>1</v>
      </c>
      <c r="N98" s="552">
        <v>0.04</v>
      </c>
      <c r="O98" s="553">
        <v>1.1000000000000001</v>
      </c>
      <c r="P98" s="553">
        <v>3.1E-4</v>
      </c>
      <c r="Q98" s="553">
        <v>2.9999999999999997E-4</v>
      </c>
      <c r="R98" s="557" t="s">
        <v>537</v>
      </c>
      <c r="X98" s="438"/>
    </row>
    <row r="99" spans="1:24" ht="11.25" customHeight="1" x14ac:dyDescent="0.2">
      <c r="A99" s="66" t="s">
        <v>156</v>
      </c>
      <c r="B99" s="549" t="s">
        <v>577</v>
      </c>
      <c r="C99" s="162" t="s">
        <v>283</v>
      </c>
      <c r="D99" s="561">
        <v>237</v>
      </c>
      <c r="E99" s="31">
        <v>236.74</v>
      </c>
      <c r="F99" s="555">
        <v>196.8</v>
      </c>
      <c r="G99" s="555">
        <v>3.2000000000000001E-2</v>
      </c>
      <c r="H99" s="555">
        <v>8.8999999999999995E-6</v>
      </c>
      <c r="I99" s="555">
        <v>50</v>
      </c>
      <c r="J99" s="555">
        <v>0.21</v>
      </c>
      <c r="K99" s="555">
        <v>3.8999999999999998E-3</v>
      </c>
      <c r="L99" s="555">
        <v>0.16</v>
      </c>
      <c r="M99" s="551">
        <v>1</v>
      </c>
      <c r="N99" s="552" t="s">
        <v>537</v>
      </c>
      <c r="O99" s="553">
        <v>0.04</v>
      </c>
      <c r="P99" s="553">
        <v>1.1E-5</v>
      </c>
      <c r="Q99" s="553">
        <v>6.9999999999999999E-4</v>
      </c>
      <c r="R99" s="554">
        <v>0.03</v>
      </c>
      <c r="X99" s="438"/>
    </row>
    <row r="100" spans="1:24" ht="11.25" customHeight="1" x14ac:dyDescent="0.2">
      <c r="A100" s="66" t="s">
        <v>373</v>
      </c>
      <c r="B100" s="549" t="s">
        <v>298</v>
      </c>
      <c r="C100" s="162" t="s">
        <v>283</v>
      </c>
      <c r="D100" s="561">
        <v>252</v>
      </c>
      <c r="E100" s="31">
        <v>252.32</v>
      </c>
      <c r="F100" s="555">
        <v>129.4</v>
      </c>
      <c r="G100" s="555">
        <v>2.5000000000000001E-2</v>
      </c>
      <c r="H100" s="555">
        <v>6.2999999999999998E-6</v>
      </c>
      <c r="I100" s="555">
        <v>33000</v>
      </c>
      <c r="J100" s="555">
        <v>2.2999999999999999E-7</v>
      </c>
      <c r="K100" s="555">
        <v>2.2999999999999999E-12</v>
      </c>
      <c r="L100" s="555">
        <v>9.2000000000000005E-11</v>
      </c>
      <c r="M100" s="551">
        <v>1</v>
      </c>
      <c r="N100" s="552">
        <v>0.1</v>
      </c>
      <c r="O100" s="553" t="s">
        <v>537</v>
      </c>
      <c r="P100" s="553" t="s">
        <v>537</v>
      </c>
      <c r="Q100" s="553">
        <v>3.3000000000000002E-2</v>
      </c>
      <c r="R100" s="557" t="s">
        <v>537</v>
      </c>
      <c r="X100" s="438"/>
    </row>
    <row r="101" spans="1:24" ht="11.25" customHeight="1" x14ac:dyDescent="0.2">
      <c r="A101" s="66" t="s">
        <v>157</v>
      </c>
      <c r="B101" s="549" t="s">
        <v>298</v>
      </c>
      <c r="C101" s="162" t="s">
        <v>283</v>
      </c>
      <c r="D101" s="561">
        <v>276</v>
      </c>
      <c r="E101" s="31">
        <v>276.33999999999997</v>
      </c>
      <c r="F101" s="555">
        <v>1951000</v>
      </c>
      <c r="G101" s="555">
        <v>4.4999999999999998E-2</v>
      </c>
      <c r="H101" s="555">
        <v>5.2000000000000002E-6</v>
      </c>
      <c r="I101" s="555">
        <v>1.9000000000000001E-4</v>
      </c>
      <c r="J101" s="555">
        <v>1.2999999999999999E-10</v>
      </c>
      <c r="K101" s="555">
        <v>3.4999999999999998E-7</v>
      </c>
      <c r="L101" s="555">
        <v>1.4E-5</v>
      </c>
      <c r="M101" s="551">
        <v>1</v>
      </c>
      <c r="N101" s="552">
        <v>0.13</v>
      </c>
      <c r="O101" s="559">
        <v>0.1</v>
      </c>
      <c r="P101" s="559">
        <v>6.0000000000000002E-5</v>
      </c>
      <c r="Q101" s="553" t="s">
        <v>537</v>
      </c>
      <c r="R101" s="557" t="s">
        <v>537</v>
      </c>
      <c r="X101" s="438"/>
    </row>
    <row r="102" spans="1:24" ht="11.25" customHeight="1" x14ac:dyDescent="0.2">
      <c r="A102" s="66" t="s">
        <v>374</v>
      </c>
      <c r="B102" s="549" t="s">
        <v>298</v>
      </c>
      <c r="C102" s="162" t="s">
        <v>297</v>
      </c>
      <c r="D102" s="561">
        <v>138</v>
      </c>
      <c r="E102" s="31">
        <v>138.21</v>
      </c>
      <c r="F102" s="555">
        <v>65</v>
      </c>
      <c r="G102" s="555">
        <v>5.2999999999999999E-2</v>
      </c>
      <c r="H102" s="555">
        <v>7.5000000000000002E-6</v>
      </c>
      <c r="I102" s="555">
        <v>12000</v>
      </c>
      <c r="J102" s="555">
        <v>0.44</v>
      </c>
      <c r="K102" s="555">
        <v>6.6000000000000003E-6</v>
      </c>
      <c r="L102" s="555">
        <v>2.7E-4</v>
      </c>
      <c r="M102" s="551">
        <v>1</v>
      </c>
      <c r="N102" s="552">
        <v>0.1</v>
      </c>
      <c r="O102" s="553">
        <v>9.5E-4</v>
      </c>
      <c r="P102" s="553" t="s">
        <v>537</v>
      </c>
      <c r="Q102" s="553">
        <v>0.2</v>
      </c>
      <c r="R102" s="554">
        <v>2</v>
      </c>
      <c r="X102" s="438"/>
    </row>
    <row r="103" spans="1:24" ht="11.25" customHeight="1" x14ac:dyDescent="0.2">
      <c r="A103" s="66" t="s">
        <v>158</v>
      </c>
      <c r="B103" s="549" t="s">
        <v>298</v>
      </c>
      <c r="C103" s="162" t="s">
        <v>283</v>
      </c>
      <c r="D103" s="561">
        <v>207</v>
      </c>
      <c r="E103" s="63">
        <v>207</v>
      </c>
      <c r="F103" s="550" t="s">
        <v>537</v>
      </c>
      <c r="G103" s="550" t="s">
        <v>537</v>
      </c>
      <c r="H103" s="550" t="s">
        <v>537</v>
      </c>
      <c r="I103" s="550" t="s">
        <v>537</v>
      </c>
      <c r="J103" s="550" t="s">
        <v>537</v>
      </c>
      <c r="K103" s="550" t="s">
        <v>537</v>
      </c>
      <c r="L103" s="550" t="s">
        <v>537</v>
      </c>
      <c r="M103" s="551">
        <v>1</v>
      </c>
      <c r="N103" s="552" t="s">
        <v>537</v>
      </c>
      <c r="O103" s="553" t="s">
        <v>537</v>
      </c>
      <c r="P103" s="553" t="s">
        <v>537</v>
      </c>
      <c r="Q103" s="555" t="s">
        <v>537</v>
      </c>
      <c r="R103" s="557" t="s">
        <v>537</v>
      </c>
      <c r="X103" s="438"/>
    </row>
    <row r="104" spans="1:24" ht="11.25" customHeight="1" x14ac:dyDescent="0.2">
      <c r="A104" s="66" t="s">
        <v>159</v>
      </c>
      <c r="B104" s="549" t="s">
        <v>298</v>
      </c>
      <c r="C104" s="162" t="s">
        <v>283</v>
      </c>
      <c r="D104" s="561">
        <v>201</v>
      </c>
      <c r="E104" s="31">
        <v>200.59</v>
      </c>
      <c r="F104" s="555" t="s">
        <v>537</v>
      </c>
      <c r="G104" s="555" t="s">
        <v>537</v>
      </c>
      <c r="H104" s="555" t="s">
        <v>537</v>
      </c>
      <c r="I104" s="555">
        <v>69000</v>
      </c>
      <c r="J104" s="555" t="s">
        <v>537</v>
      </c>
      <c r="K104" s="555" t="s">
        <v>537</v>
      </c>
      <c r="L104" s="555" t="s">
        <v>537</v>
      </c>
      <c r="M104" s="551">
        <v>7.0000000000000007E-2</v>
      </c>
      <c r="N104" s="552" t="s">
        <v>537</v>
      </c>
      <c r="O104" s="553" t="s">
        <v>537</v>
      </c>
      <c r="P104" s="553" t="s">
        <v>537</v>
      </c>
      <c r="Q104" s="553">
        <v>2.9999999999999997E-4</v>
      </c>
      <c r="R104" s="554">
        <v>2.9999999999999997E-4</v>
      </c>
      <c r="X104" s="438"/>
    </row>
    <row r="105" spans="1:24" ht="11.25" customHeight="1" x14ac:dyDescent="0.2">
      <c r="A105" s="66" t="s">
        <v>160</v>
      </c>
      <c r="B105" s="549" t="s">
        <v>298</v>
      </c>
      <c r="C105" s="162" t="s">
        <v>283</v>
      </c>
      <c r="D105" s="561">
        <v>346</v>
      </c>
      <c r="E105" s="31">
        <v>345.66</v>
      </c>
      <c r="F105" s="555">
        <v>26890</v>
      </c>
      <c r="G105" s="555">
        <v>2.1999999999999999E-2</v>
      </c>
      <c r="H105" s="555">
        <v>5.5999999999999997E-6</v>
      </c>
      <c r="I105" s="555">
        <v>0.1</v>
      </c>
      <c r="J105" s="555">
        <v>2.6000000000000001E-6</v>
      </c>
      <c r="K105" s="555">
        <v>1.9999999999999999E-7</v>
      </c>
      <c r="L105" s="555">
        <v>8.3000000000000002E-6</v>
      </c>
      <c r="M105" s="551">
        <v>1</v>
      </c>
      <c r="N105" s="552">
        <v>0.1</v>
      </c>
      <c r="O105" s="553" t="s">
        <v>537</v>
      </c>
      <c r="P105" s="553" t="s">
        <v>537</v>
      </c>
      <c r="Q105" s="553">
        <v>5.0000000000000001E-3</v>
      </c>
      <c r="R105" s="557" t="s">
        <v>537</v>
      </c>
      <c r="X105" s="438"/>
    </row>
    <row r="106" spans="1:24" ht="11.25" customHeight="1" x14ac:dyDescent="0.2">
      <c r="A106" s="66" t="s">
        <v>162</v>
      </c>
      <c r="B106" s="549" t="s">
        <v>576</v>
      </c>
      <c r="C106" s="162" t="s">
        <v>297</v>
      </c>
      <c r="D106" s="561">
        <v>72</v>
      </c>
      <c r="E106" s="31">
        <v>72.11</v>
      </c>
      <c r="F106" s="555">
        <v>4.51</v>
      </c>
      <c r="G106" s="555">
        <v>9.0999999999999998E-2</v>
      </c>
      <c r="H106" s="555">
        <v>1.0000000000000001E-5</v>
      </c>
      <c r="I106" s="555">
        <v>223000</v>
      </c>
      <c r="J106" s="555">
        <v>90.6</v>
      </c>
      <c r="K106" s="555">
        <v>5.7000000000000003E-5</v>
      </c>
      <c r="L106" s="555">
        <v>2.3E-3</v>
      </c>
      <c r="M106" s="551">
        <v>1</v>
      </c>
      <c r="N106" s="552" t="s">
        <v>537</v>
      </c>
      <c r="O106" s="553" t="s">
        <v>537</v>
      </c>
      <c r="P106" s="553" t="s">
        <v>537</v>
      </c>
      <c r="Q106" s="553">
        <v>0.6</v>
      </c>
      <c r="R106" s="554">
        <v>5</v>
      </c>
      <c r="X106" s="438"/>
    </row>
    <row r="107" spans="1:24" ht="11.25" customHeight="1" x14ac:dyDescent="0.2">
      <c r="A107" s="66" t="s">
        <v>163</v>
      </c>
      <c r="B107" s="549" t="s">
        <v>576</v>
      </c>
      <c r="C107" s="162" t="s">
        <v>297</v>
      </c>
      <c r="D107" s="561">
        <v>100</v>
      </c>
      <c r="E107" s="31">
        <v>100.16</v>
      </c>
      <c r="F107" s="555">
        <v>12.6</v>
      </c>
      <c r="G107" s="555">
        <v>7.0000000000000007E-2</v>
      </c>
      <c r="H107" s="555">
        <v>8.3000000000000002E-6</v>
      </c>
      <c r="I107" s="555">
        <v>19000</v>
      </c>
      <c r="J107" s="555">
        <v>19.86</v>
      </c>
      <c r="K107" s="555">
        <v>1.3999999999999999E-4</v>
      </c>
      <c r="L107" s="555">
        <v>5.5999999999999999E-3</v>
      </c>
      <c r="M107" s="551">
        <v>1</v>
      </c>
      <c r="N107" s="552" t="s">
        <v>537</v>
      </c>
      <c r="O107" s="553" t="s">
        <v>537</v>
      </c>
      <c r="P107" s="553" t="s">
        <v>537</v>
      </c>
      <c r="Q107" s="553" t="s">
        <v>537</v>
      </c>
      <c r="R107" s="554">
        <v>3</v>
      </c>
      <c r="X107" s="438"/>
    </row>
    <row r="108" spans="1:24" ht="11.25" customHeight="1" x14ac:dyDescent="0.2">
      <c r="A108" s="66" t="s">
        <v>164</v>
      </c>
      <c r="B108" s="549" t="s">
        <v>298</v>
      </c>
      <c r="C108" s="162" t="s">
        <v>283</v>
      </c>
      <c r="D108" s="561">
        <v>216</v>
      </c>
      <c r="E108" s="31">
        <v>215.63</v>
      </c>
      <c r="F108" s="555" t="s">
        <v>537</v>
      </c>
      <c r="G108" s="555" t="s">
        <v>537</v>
      </c>
      <c r="H108" s="555" t="s">
        <v>537</v>
      </c>
      <c r="I108" s="555" t="s">
        <v>537</v>
      </c>
      <c r="J108" s="555" t="s">
        <v>537</v>
      </c>
      <c r="K108" s="555" t="s">
        <v>537</v>
      </c>
      <c r="L108" s="555" t="s">
        <v>537</v>
      </c>
      <c r="M108" s="551">
        <v>1</v>
      </c>
      <c r="N108" s="552" t="s">
        <v>537</v>
      </c>
      <c r="O108" s="553" t="s">
        <v>537</v>
      </c>
      <c r="P108" s="553" t="s">
        <v>537</v>
      </c>
      <c r="Q108" s="553">
        <v>1E-4</v>
      </c>
      <c r="R108" s="557" t="s">
        <v>537</v>
      </c>
      <c r="X108" s="438"/>
    </row>
    <row r="109" spans="1:24" ht="11.25" customHeight="1" x14ac:dyDescent="0.2">
      <c r="A109" s="66" t="s">
        <v>165</v>
      </c>
      <c r="B109" s="549" t="s">
        <v>576</v>
      </c>
      <c r="C109" s="162" t="s">
        <v>297</v>
      </c>
      <c r="D109" s="561">
        <v>88</v>
      </c>
      <c r="E109" s="31">
        <v>88.15</v>
      </c>
      <c r="F109" s="555">
        <v>11.56</v>
      </c>
      <c r="G109" s="555">
        <v>7.4999999999999997E-2</v>
      </c>
      <c r="H109" s="555">
        <v>8.6000000000000007E-6</v>
      </c>
      <c r="I109" s="555">
        <v>51000</v>
      </c>
      <c r="J109" s="555">
        <v>250</v>
      </c>
      <c r="K109" s="555">
        <v>5.9000000000000003E-4</v>
      </c>
      <c r="L109" s="555">
        <v>2.4E-2</v>
      </c>
      <c r="M109" s="551">
        <v>1</v>
      </c>
      <c r="N109" s="552" t="s">
        <v>537</v>
      </c>
      <c r="O109" s="553">
        <v>1.8E-3</v>
      </c>
      <c r="P109" s="553">
        <v>2.6E-7</v>
      </c>
      <c r="Q109" s="553" t="s">
        <v>537</v>
      </c>
      <c r="R109" s="554">
        <v>3</v>
      </c>
      <c r="X109" s="438"/>
    </row>
    <row r="110" spans="1:24" ht="11.25" customHeight="1" x14ac:dyDescent="0.2">
      <c r="A110" s="66" t="s">
        <v>161</v>
      </c>
      <c r="B110" s="549" t="s">
        <v>576</v>
      </c>
      <c r="C110" s="162" t="s">
        <v>297</v>
      </c>
      <c r="D110" s="561">
        <v>85</v>
      </c>
      <c r="E110" s="31">
        <v>84.93</v>
      </c>
      <c r="F110" s="555">
        <v>21.73</v>
      </c>
      <c r="G110" s="555">
        <v>0.1</v>
      </c>
      <c r="H110" s="555">
        <v>1.2999999999999999E-5</v>
      </c>
      <c r="I110" s="555">
        <v>13000</v>
      </c>
      <c r="J110" s="555">
        <v>435</v>
      </c>
      <c r="K110" s="555">
        <v>3.3E-3</v>
      </c>
      <c r="L110" s="555">
        <v>0.13</v>
      </c>
      <c r="M110" s="551">
        <v>1</v>
      </c>
      <c r="N110" s="552" t="s">
        <v>537</v>
      </c>
      <c r="O110" s="553">
        <v>2E-3</v>
      </c>
      <c r="P110" s="553">
        <v>1E-8</v>
      </c>
      <c r="Q110" s="553">
        <v>6.0000000000000001E-3</v>
      </c>
      <c r="R110" s="554">
        <v>0.6</v>
      </c>
      <c r="X110" s="438"/>
    </row>
    <row r="111" spans="1:24" ht="11.25" customHeight="1" x14ac:dyDescent="0.2">
      <c r="A111" s="66" t="s">
        <v>526</v>
      </c>
      <c r="B111" s="549" t="s">
        <v>576</v>
      </c>
      <c r="C111" s="162" t="s">
        <v>283</v>
      </c>
      <c r="D111" s="561">
        <v>142</v>
      </c>
      <c r="E111" s="31">
        <v>142.19999999999999</v>
      </c>
      <c r="F111" s="555">
        <v>2528</v>
      </c>
      <c r="G111" s="555">
        <v>5.2999999999999999E-2</v>
      </c>
      <c r="H111" s="555">
        <v>7.7999999999999999E-6</v>
      </c>
      <c r="I111" s="555">
        <v>25.8</v>
      </c>
      <c r="J111" s="555">
        <v>6.7000000000000004E-2</v>
      </c>
      <c r="K111" s="555">
        <v>5.1000000000000004E-4</v>
      </c>
      <c r="L111" s="555">
        <v>2.1000000000000001E-2</v>
      </c>
      <c r="M111" s="551">
        <v>1</v>
      </c>
      <c r="N111" s="552">
        <v>0.13</v>
      </c>
      <c r="O111" s="553">
        <v>2.9000000000000001E-2</v>
      </c>
      <c r="P111" s="553" t="s">
        <v>537</v>
      </c>
      <c r="Q111" s="553">
        <v>7.0000000000000007E-2</v>
      </c>
      <c r="R111" s="554">
        <v>0.28000000000000003</v>
      </c>
      <c r="X111" s="438"/>
    </row>
    <row r="112" spans="1:24" ht="11.25" customHeight="1" x14ac:dyDescent="0.2">
      <c r="A112" s="66" t="s">
        <v>527</v>
      </c>
      <c r="B112" s="549" t="s">
        <v>576</v>
      </c>
      <c r="C112" s="162" t="s">
        <v>283</v>
      </c>
      <c r="D112" s="561">
        <v>142</v>
      </c>
      <c r="E112" s="31">
        <v>142.19999999999999</v>
      </c>
      <c r="F112" s="555">
        <v>2478</v>
      </c>
      <c r="G112" s="555">
        <v>5.1999999999999998E-2</v>
      </c>
      <c r="H112" s="555">
        <v>7.7999999999999999E-6</v>
      </c>
      <c r="I112" s="555">
        <v>24.6</v>
      </c>
      <c r="J112" s="555">
        <v>5.5E-2</v>
      </c>
      <c r="K112" s="555">
        <v>5.1999999999999995E-4</v>
      </c>
      <c r="L112" s="555">
        <v>2.1000000000000001E-2</v>
      </c>
      <c r="M112" s="551">
        <v>1</v>
      </c>
      <c r="N112" s="552">
        <v>0.13</v>
      </c>
      <c r="O112" s="553" t="s">
        <v>537</v>
      </c>
      <c r="P112" s="553" t="s">
        <v>537</v>
      </c>
      <c r="Q112" s="553">
        <v>4.0000000000000001E-3</v>
      </c>
      <c r="R112" s="554">
        <v>1.6E-2</v>
      </c>
      <c r="X112" s="438"/>
    </row>
    <row r="113" spans="1:24" ht="11.25" customHeight="1" x14ac:dyDescent="0.2">
      <c r="A113" s="66" t="s">
        <v>445</v>
      </c>
      <c r="B113" s="549" t="s">
        <v>298</v>
      </c>
      <c r="C113" s="162" t="s">
        <v>283</v>
      </c>
      <c r="D113" s="561">
        <v>96</v>
      </c>
      <c r="E113" s="31">
        <v>95.94</v>
      </c>
      <c r="F113" s="555" t="s">
        <v>537</v>
      </c>
      <c r="G113" s="555" t="s">
        <v>537</v>
      </c>
      <c r="H113" s="555" t="s">
        <v>537</v>
      </c>
      <c r="I113" s="555" t="s">
        <v>537</v>
      </c>
      <c r="J113" s="555" t="s">
        <v>537</v>
      </c>
      <c r="K113" s="555" t="s">
        <v>537</v>
      </c>
      <c r="L113" s="555" t="s">
        <v>537</v>
      </c>
      <c r="M113" s="551">
        <v>1</v>
      </c>
      <c r="N113" s="552" t="s">
        <v>537</v>
      </c>
      <c r="O113" s="553" t="s">
        <v>537</v>
      </c>
      <c r="P113" s="553" t="s">
        <v>537</v>
      </c>
      <c r="Q113" s="553">
        <v>5.0000000000000001E-3</v>
      </c>
      <c r="R113" s="557" t="s">
        <v>537</v>
      </c>
      <c r="X113" s="438"/>
    </row>
    <row r="114" spans="1:24" ht="11.25" customHeight="1" x14ac:dyDescent="0.2">
      <c r="A114" s="66" t="s">
        <v>446</v>
      </c>
      <c r="B114" s="549" t="s">
        <v>576</v>
      </c>
      <c r="C114" s="162" t="s">
        <v>283</v>
      </c>
      <c r="D114" s="561">
        <v>128</v>
      </c>
      <c r="E114" s="31">
        <v>128.18</v>
      </c>
      <c r="F114" s="555">
        <v>1544</v>
      </c>
      <c r="G114" s="555">
        <v>0.06</v>
      </c>
      <c r="H114" s="555">
        <v>8.3999999999999992E-6</v>
      </c>
      <c r="I114" s="555">
        <v>31</v>
      </c>
      <c r="J114" s="555">
        <v>8.5000000000000006E-2</v>
      </c>
      <c r="K114" s="555">
        <v>4.4000000000000002E-4</v>
      </c>
      <c r="L114" s="555">
        <v>1.7999999999999999E-2</v>
      </c>
      <c r="M114" s="551">
        <v>1</v>
      </c>
      <c r="N114" s="552">
        <v>0.13</v>
      </c>
      <c r="O114" s="553" t="s">
        <v>537</v>
      </c>
      <c r="P114" s="553">
        <v>3.4E-5</v>
      </c>
      <c r="Q114" s="553">
        <v>0.02</v>
      </c>
      <c r="R114" s="554">
        <v>3.0000000000000001E-3</v>
      </c>
      <c r="X114" s="438"/>
    </row>
    <row r="115" spans="1:24" ht="11.25" customHeight="1" x14ac:dyDescent="0.2">
      <c r="A115" s="66" t="s">
        <v>113</v>
      </c>
      <c r="B115" s="549" t="s">
        <v>298</v>
      </c>
      <c r="C115" s="162" t="s">
        <v>283</v>
      </c>
      <c r="D115" s="561">
        <v>59</v>
      </c>
      <c r="E115" s="31">
        <v>58.69</v>
      </c>
      <c r="F115" s="555" t="s">
        <v>537</v>
      </c>
      <c r="G115" s="555" t="s">
        <v>537</v>
      </c>
      <c r="H115" s="555" t="s">
        <v>537</v>
      </c>
      <c r="I115" s="555" t="s">
        <v>537</v>
      </c>
      <c r="J115" s="555" t="s">
        <v>537</v>
      </c>
      <c r="K115" s="555" t="s">
        <v>537</v>
      </c>
      <c r="L115" s="555" t="s">
        <v>537</v>
      </c>
      <c r="M115" s="552">
        <v>0.04</v>
      </c>
      <c r="N115" s="552" t="s">
        <v>537</v>
      </c>
      <c r="O115" s="553" t="s">
        <v>537</v>
      </c>
      <c r="P115" s="553" t="s">
        <v>537</v>
      </c>
      <c r="Q115" s="553">
        <v>0.02</v>
      </c>
      <c r="R115" s="554">
        <v>9.0000000000000006E-5</v>
      </c>
      <c r="X115" s="438"/>
    </row>
    <row r="116" spans="1:24" ht="11.25" customHeight="1" x14ac:dyDescent="0.2">
      <c r="A116" s="66" t="s">
        <v>375</v>
      </c>
      <c r="B116" s="549" t="s">
        <v>576</v>
      </c>
      <c r="C116" s="162" t="s">
        <v>297</v>
      </c>
      <c r="D116" s="561">
        <v>123</v>
      </c>
      <c r="E116" s="31">
        <v>123.11</v>
      </c>
      <c r="F116" s="555">
        <v>226.4</v>
      </c>
      <c r="G116" s="555">
        <v>6.8000000000000005E-2</v>
      </c>
      <c r="H116" s="555">
        <v>9.3999999999999998E-6</v>
      </c>
      <c r="I116" s="555">
        <v>2090</v>
      </c>
      <c r="J116" s="555">
        <v>0.245</v>
      </c>
      <c r="K116" s="555">
        <v>2.4000000000000001E-5</v>
      </c>
      <c r="L116" s="555">
        <v>9.7999999999999997E-4</v>
      </c>
      <c r="M116" s="551">
        <v>1</v>
      </c>
      <c r="N116" s="552" t="s">
        <v>537</v>
      </c>
      <c r="O116" s="553" t="s">
        <v>537</v>
      </c>
      <c r="P116" s="553">
        <v>4.0000000000000003E-5</v>
      </c>
      <c r="Q116" s="553">
        <v>2E-3</v>
      </c>
      <c r="R116" s="554">
        <v>8.9999999999999993E-3</v>
      </c>
      <c r="X116" s="438"/>
    </row>
    <row r="117" spans="1:24" ht="11.25" customHeight="1" x14ac:dyDescent="0.2">
      <c r="A117" s="66" t="s">
        <v>376</v>
      </c>
      <c r="B117" s="549" t="s">
        <v>298</v>
      </c>
      <c r="C117" s="162" t="s">
        <v>297</v>
      </c>
      <c r="D117" s="561">
        <v>227</v>
      </c>
      <c r="E117" s="31">
        <v>227.09</v>
      </c>
      <c r="F117" s="555">
        <v>115.8</v>
      </c>
      <c r="G117" s="555">
        <v>2.9000000000000001E-2</v>
      </c>
      <c r="H117" s="555">
        <v>7.7000000000000008E-6</v>
      </c>
      <c r="I117" s="555">
        <v>1380</v>
      </c>
      <c r="J117" s="555">
        <v>4.0000000000000002E-4</v>
      </c>
      <c r="K117" s="555">
        <v>8.6999999999999998E-8</v>
      </c>
      <c r="L117" s="555">
        <v>3.4999999999999999E-6</v>
      </c>
      <c r="M117" s="551">
        <v>1</v>
      </c>
      <c r="N117" s="552">
        <v>0.1</v>
      </c>
      <c r="O117" s="553">
        <v>1.7000000000000001E-2</v>
      </c>
      <c r="P117" s="553" t="s">
        <v>537</v>
      </c>
      <c r="Q117" s="553">
        <v>1E-4</v>
      </c>
      <c r="R117" s="557" t="s">
        <v>537</v>
      </c>
      <c r="X117" s="438"/>
    </row>
    <row r="118" spans="1:24" ht="11.25" customHeight="1" x14ac:dyDescent="0.2">
      <c r="A118" s="66" t="s">
        <v>377</v>
      </c>
      <c r="B118" s="549" t="s">
        <v>576</v>
      </c>
      <c r="C118" s="162" t="s">
        <v>283</v>
      </c>
      <c r="D118" s="561">
        <v>137</v>
      </c>
      <c r="E118" s="31">
        <v>137.13999999999999</v>
      </c>
      <c r="F118" s="555">
        <v>370.6</v>
      </c>
      <c r="G118" s="555">
        <v>5.8999999999999997E-2</v>
      </c>
      <c r="H118" s="555">
        <v>8.6999999999999997E-6</v>
      </c>
      <c r="I118" s="555">
        <v>650</v>
      </c>
      <c r="J118" s="555">
        <v>0.19</v>
      </c>
      <c r="K118" s="555">
        <v>1.2999999999999999E-5</v>
      </c>
      <c r="L118" s="555">
        <v>5.1000000000000004E-4</v>
      </c>
      <c r="M118" s="551">
        <v>1</v>
      </c>
      <c r="N118" s="552" t="s">
        <v>537</v>
      </c>
      <c r="O118" s="553">
        <v>0.22</v>
      </c>
      <c r="P118" s="553" t="s">
        <v>537</v>
      </c>
      <c r="Q118" s="553">
        <v>8.9999999999999998E-4</v>
      </c>
      <c r="R118" s="554">
        <v>3.5999999999999999E-3</v>
      </c>
      <c r="X118" s="438"/>
    </row>
    <row r="119" spans="1:24" ht="11.25" customHeight="1" x14ac:dyDescent="0.2">
      <c r="A119" s="66" t="s">
        <v>378</v>
      </c>
      <c r="B119" s="549" t="s">
        <v>298</v>
      </c>
      <c r="C119" s="162" t="s">
        <v>283</v>
      </c>
      <c r="D119" s="561">
        <v>137</v>
      </c>
      <c r="E119" s="63">
        <v>137</v>
      </c>
      <c r="F119" s="550">
        <v>363.2</v>
      </c>
      <c r="G119" s="550">
        <v>5.8999999999999997E-2</v>
      </c>
      <c r="H119" s="550">
        <v>8.6999999999999997E-6</v>
      </c>
      <c r="I119" s="550">
        <v>500</v>
      </c>
      <c r="J119" s="550">
        <v>0.20499999999999999</v>
      </c>
      <c r="K119" s="550">
        <v>9.3000000000000007E-6</v>
      </c>
      <c r="L119" s="550">
        <v>3.8000000000000002E-4</v>
      </c>
      <c r="M119" s="551">
        <v>1</v>
      </c>
      <c r="N119" s="564">
        <v>0.1</v>
      </c>
      <c r="O119" s="553" t="s">
        <v>537</v>
      </c>
      <c r="P119" s="553" t="s">
        <v>537</v>
      </c>
      <c r="Q119" s="555">
        <v>1E-4</v>
      </c>
      <c r="R119" s="554" t="s">
        <v>537</v>
      </c>
      <c r="X119" s="438"/>
    </row>
    <row r="120" spans="1:24" ht="11.25" customHeight="1" x14ac:dyDescent="0.2">
      <c r="A120" s="66" t="s">
        <v>379</v>
      </c>
      <c r="B120" s="549" t="s">
        <v>298</v>
      </c>
      <c r="C120" s="162" t="s">
        <v>283</v>
      </c>
      <c r="D120" s="561">
        <v>137</v>
      </c>
      <c r="E120" s="31">
        <v>137.13999999999999</v>
      </c>
      <c r="F120" s="550">
        <v>363.2</v>
      </c>
      <c r="G120" s="555">
        <v>5.7000000000000002E-2</v>
      </c>
      <c r="H120" s="555">
        <v>8.3999999999999992E-6</v>
      </c>
      <c r="I120" s="555">
        <v>442</v>
      </c>
      <c r="J120" s="555">
        <v>1.6E-2</v>
      </c>
      <c r="K120" s="555">
        <v>5.5999999999999997E-6</v>
      </c>
      <c r="L120" s="555">
        <v>2.3000000000000001E-4</v>
      </c>
      <c r="M120" s="551">
        <v>1</v>
      </c>
      <c r="N120" s="552">
        <v>0.1</v>
      </c>
      <c r="O120" s="553">
        <v>1.6E-2</v>
      </c>
      <c r="P120" s="553" t="s">
        <v>537</v>
      </c>
      <c r="Q120" s="553">
        <v>4.0000000000000001E-3</v>
      </c>
      <c r="R120" s="557">
        <v>1.6E-2</v>
      </c>
      <c r="X120" s="438"/>
    </row>
    <row r="121" spans="1:24" ht="11.25" customHeight="1" x14ac:dyDescent="0.2">
      <c r="A121" s="66" t="s">
        <v>447</v>
      </c>
      <c r="B121" s="549" t="s">
        <v>298</v>
      </c>
      <c r="C121" s="162" t="s">
        <v>283</v>
      </c>
      <c r="D121" s="561">
        <v>266</v>
      </c>
      <c r="E121" s="31">
        <v>266.33999999999997</v>
      </c>
      <c r="F121" s="555">
        <v>592</v>
      </c>
      <c r="G121" s="555">
        <v>0.03</v>
      </c>
      <c r="H121" s="555">
        <v>7.9999999999999996E-6</v>
      </c>
      <c r="I121" s="555">
        <v>14</v>
      </c>
      <c r="J121" s="555">
        <v>1.1E-4</v>
      </c>
      <c r="K121" s="555">
        <v>2.4999999999999999E-8</v>
      </c>
      <c r="L121" s="555">
        <v>9.9999999999999995E-7</v>
      </c>
      <c r="M121" s="551">
        <v>1</v>
      </c>
      <c r="N121" s="552">
        <v>0.25</v>
      </c>
      <c r="O121" s="553">
        <v>0.4</v>
      </c>
      <c r="P121" s="553">
        <v>5.1000000000000003E-6</v>
      </c>
      <c r="Q121" s="553">
        <v>5.0000000000000001E-3</v>
      </c>
      <c r="R121" s="557" t="s">
        <v>537</v>
      </c>
      <c r="X121" s="438"/>
    </row>
    <row r="122" spans="1:24" ht="11.25" customHeight="1" x14ac:dyDescent="0.2">
      <c r="A122" s="66" t="s">
        <v>380</v>
      </c>
      <c r="B122" s="549" t="s">
        <v>298</v>
      </c>
      <c r="C122" s="162" t="s">
        <v>283</v>
      </c>
      <c r="D122" s="561">
        <v>316</v>
      </c>
      <c r="E122" s="63">
        <v>316</v>
      </c>
      <c r="F122" s="550">
        <v>647.9</v>
      </c>
      <c r="G122" s="550">
        <v>2.5999999999999999E-2</v>
      </c>
      <c r="H122" s="550">
        <v>6.8000000000000001E-6</v>
      </c>
      <c r="I122" s="550">
        <v>43</v>
      </c>
      <c r="J122" s="550">
        <v>5.4999999999999996E-9</v>
      </c>
      <c r="K122" s="550">
        <v>1.3000000000000001E-9</v>
      </c>
      <c r="L122" s="550">
        <v>5.4E-8</v>
      </c>
      <c r="M122" s="551">
        <v>1</v>
      </c>
      <c r="N122" s="552">
        <v>0.1</v>
      </c>
      <c r="O122" s="553">
        <v>4.0000000000000001E-3</v>
      </c>
      <c r="P122" s="553" t="s">
        <v>537</v>
      </c>
      <c r="Q122" s="553">
        <v>2E-3</v>
      </c>
      <c r="R122" s="557" t="s">
        <v>537</v>
      </c>
      <c r="X122" s="438"/>
    </row>
    <row r="123" spans="1:24" ht="11.25" customHeight="1" x14ac:dyDescent="0.2">
      <c r="A123" s="66" t="s">
        <v>132</v>
      </c>
      <c r="B123" s="549" t="s">
        <v>298</v>
      </c>
      <c r="C123" s="162" t="s">
        <v>283</v>
      </c>
      <c r="D123" s="561">
        <v>117</v>
      </c>
      <c r="E123" s="31">
        <v>117.49</v>
      </c>
      <c r="F123" s="555" t="s">
        <v>537</v>
      </c>
      <c r="G123" s="555" t="s">
        <v>537</v>
      </c>
      <c r="H123" s="555" t="s">
        <v>537</v>
      </c>
      <c r="I123" s="555">
        <v>245000</v>
      </c>
      <c r="J123" s="555" t="s">
        <v>537</v>
      </c>
      <c r="K123" s="555" t="s">
        <v>537</v>
      </c>
      <c r="L123" s="555" t="s">
        <v>537</v>
      </c>
      <c r="M123" s="551">
        <v>1</v>
      </c>
      <c r="N123" s="552" t="s">
        <v>537</v>
      </c>
      <c r="O123" s="553" t="s">
        <v>537</v>
      </c>
      <c r="P123" s="553" t="s">
        <v>537</v>
      </c>
      <c r="Q123" s="553">
        <v>6.9999999999999999E-4</v>
      </c>
      <c r="R123" s="557" t="s">
        <v>537</v>
      </c>
      <c r="X123" s="438"/>
    </row>
    <row r="124" spans="1:24" ht="11.25" customHeight="1" x14ac:dyDescent="0.2">
      <c r="A124" s="66" t="s">
        <v>448</v>
      </c>
      <c r="B124" s="549" t="s">
        <v>576</v>
      </c>
      <c r="C124" s="162" t="s">
        <v>283</v>
      </c>
      <c r="D124" s="561">
        <v>178</v>
      </c>
      <c r="E124" s="63">
        <v>178</v>
      </c>
      <c r="F124" s="550">
        <v>14000</v>
      </c>
      <c r="G124" s="550">
        <v>6.08E-2</v>
      </c>
      <c r="H124" s="550">
        <v>7.8800000000000008E-6</v>
      </c>
      <c r="I124" s="550">
        <v>0.81599999999999995</v>
      </c>
      <c r="J124" s="550" t="s">
        <v>537</v>
      </c>
      <c r="K124" s="550">
        <v>3.93E-5</v>
      </c>
      <c r="L124" s="550">
        <v>1.6100000000000001E-3</v>
      </c>
      <c r="M124" s="551">
        <v>1</v>
      </c>
      <c r="N124" s="552">
        <v>0.13</v>
      </c>
      <c r="O124" s="553" t="s">
        <v>537</v>
      </c>
      <c r="P124" s="553" t="s">
        <v>537</v>
      </c>
      <c r="Q124" s="553">
        <v>0.04</v>
      </c>
      <c r="R124" s="554">
        <v>0.14000000000000001</v>
      </c>
      <c r="X124" s="438"/>
    </row>
    <row r="125" spans="1:24" ht="11.25" customHeight="1" x14ac:dyDescent="0.2">
      <c r="A125" s="66" t="s">
        <v>449</v>
      </c>
      <c r="B125" s="549" t="s">
        <v>298</v>
      </c>
      <c r="C125" s="162" t="s">
        <v>283</v>
      </c>
      <c r="D125" s="561">
        <v>94</v>
      </c>
      <c r="E125" s="31">
        <v>94.11</v>
      </c>
      <c r="F125" s="555">
        <v>187.2</v>
      </c>
      <c r="G125" s="555">
        <v>8.3000000000000004E-2</v>
      </c>
      <c r="H125" s="555">
        <v>1.0000000000000001E-5</v>
      </c>
      <c r="I125" s="555">
        <v>82800</v>
      </c>
      <c r="J125" s="555">
        <v>0.35</v>
      </c>
      <c r="K125" s="555">
        <v>3.3000000000000002E-7</v>
      </c>
      <c r="L125" s="555">
        <v>1.4E-5</v>
      </c>
      <c r="M125" s="551">
        <v>1</v>
      </c>
      <c r="N125" s="552">
        <v>0.1</v>
      </c>
      <c r="O125" s="553" t="s">
        <v>537</v>
      </c>
      <c r="P125" s="553" t="s">
        <v>537</v>
      </c>
      <c r="Q125" s="553">
        <v>0.3</v>
      </c>
      <c r="R125" s="554">
        <v>0.2</v>
      </c>
      <c r="X125" s="438"/>
    </row>
    <row r="126" spans="1:24" ht="11.25" customHeight="1" x14ac:dyDescent="0.2">
      <c r="A126" s="66" t="s">
        <v>123</v>
      </c>
      <c r="B126" s="549" t="s">
        <v>577</v>
      </c>
      <c r="C126" s="162" t="s">
        <v>283</v>
      </c>
      <c r="D126" s="561">
        <v>326</v>
      </c>
      <c r="E126" s="31">
        <v>326.44</v>
      </c>
      <c r="F126" s="555">
        <v>130500</v>
      </c>
      <c r="G126" s="555">
        <v>2.4E-2</v>
      </c>
      <c r="H126" s="555">
        <v>6.1E-6</v>
      </c>
      <c r="I126" s="555">
        <v>4.2999999999999997E-2</v>
      </c>
      <c r="J126" s="555">
        <v>7.7000000000000001E-5</v>
      </c>
      <c r="K126" s="555">
        <v>2.7999999999999998E-4</v>
      </c>
      <c r="L126" s="555">
        <v>1.2E-2</v>
      </c>
      <c r="M126" s="551">
        <v>1</v>
      </c>
      <c r="N126" s="552">
        <v>0.14000000000000001</v>
      </c>
      <c r="O126" s="553">
        <v>2</v>
      </c>
      <c r="P126" s="553">
        <v>5.6999999999999998E-4</v>
      </c>
      <c r="Q126" s="553">
        <v>2.0000000000000002E-5</v>
      </c>
      <c r="R126" s="557" t="s">
        <v>537</v>
      </c>
      <c r="X126" s="438"/>
    </row>
    <row r="127" spans="1:24" ht="11.25" customHeight="1" x14ac:dyDescent="0.2">
      <c r="A127" s="66" t="s">
        <v>381</v>
      </c>
      <c r="B127" s="549" t="s">
        <v>298</v>
      </c>
      <c r="C127" s="162" t="s">
        <v>297</v>
      </c>
      <c r="D127" s="561">
        <v>342</v>
      </c>
      <c r="E127" s="31">
        <v>342.23</v>
      </c>
      <c r="F127" s="555">
        <v>1556</v>
      </c>
      <c r="G127" s="555">
        <v>2.1000000000000001E-2</v>
      </c>
      <c r="H127" s="555">
        <v>5.3000000000000001E-6</v>
      </c>
      <c r="I127" s="555">
        <v>110</v>
      </c>
      <c r="J127" s="555">
        <v>4.2E-7</v>
      </c>
      <c r="K127" s="555">
        <v>1.6999999999999999E-9</v>
      </c>
      <c r="L127" s="555">
        <v>7.0000000000000005E-8</v>
      </c>
      <c r="M127" s="551">
        <v>1</v>
      </c>
      <c r="N127" s="552">
        <v>0.1</v>
      </c>
      <c r="O127" s="553" t="s">
        <v>537</v>
      </c>
      <c r="P127" s="553" t="s">
        <v>537</v>
      </c>
      <c r="Q127" s="553">
        <v>0.1</v>
      </c>
      <c r="R127" s="557" t="s">
        <v>537</v>
      </c>
      <c r="X127" s="438"/>
    </row>
    <row r="128" spans="1:24" ht="11.25" customHeight="1" x14ac:dyDescent="0.2">
      <c r="A128" s="66" t="s">
        <v>450</v>
      </c>
      <c r="B128" s="549" t="s">
        <v>576</v>
      </c>
      <c r="C128" s="162" t="s">
        <v>283</v>
      </c>
      <c r="D128" s="561">
        <v>202</v>
      </c>
      <c r="E128" s="31">
        <v>199</v>
      </c>
      <c r="F128" s="555">
        <v>54340</v>
      </c>
      <c r="G128" s="555">
        <v>2.8000000000000001E-2</v>
      </c>
      <c r="H128" s="555">
        <v>7.1999999999999997E-6</v>
      </c>
      <c r="I128" s="555">
        <v>0.13500000000000001</v>
      </c>
      <c r="J128" s="555">
        <v>4.5000000000000001E-6</v>
      </c>
      <c r="K128" s="555">
        <v>1.2E-5</v>
      </c>
      <c r="L128" s="555">
        <v>4.8999999999999998E-4</v>
      </c>
      <c r="M128" s="551">
        <v>1</v>
      </c>
      <c r="N128" s="552">
        <v>0.13</v>
      </c>
      <c r="O128" s="553" t="s">
        <v>537</v>
      </c>
      <c r="P128" s="553" t="s">
        <v>537</v>
      </c>
      <c r="Q128" s="553">
        <v>0.03</v>
      </c>
      <c r="R128" s="554">
        <v>0.12</v>
      </c>
      <c r="X128" s="438"/>
    </row>
    <row r="129" spans="1:24" ht="11.25" customHeight="1" x14ac:dyDescent="0.2">
      <c r="A129" s="66" t="s">
        <v>451</v>
      </c>
      <c r="B129" s="549" t="s">
        <v>298</v>
      </c>
      <c r="C129" s="162" t="s">
        <v>283</v>
      </c>
      <c r="D129" s="561">
        <v>81</v>
      </c>
      <c r="E129" s="31">
        <v>80.98</v>
      </c>
      <c r="F129" s="555" t="s">
        <v>537</v>
      </c>
      <c r="G129" s="555" t="s">
        <v>537</v>
      </c>
      <c r="H129" s="555" t="s">
        <v>537</v>
      </c>
      <c r="I129" s="555" t="s">
        <v>537</v>
      </c>
      <c r="J129" s="555">
        <v>1.4000000000000001E-10</v>
      </c>
      <c r="K129" s="555" t="s">
        <v>537</v>
      </c>
      <c r="L129" s="555" t="s">
        <v>537</v>
      </c>
      <c r="M129" s="551">
        <v>1</v>
      </c>
      <c r="N129" s="552" t="s">
        <v>537</v>
      </c>
      <c r="O129" s="553" t="s">
        <v>537</v>
      </c>
      <c r="P129" s="553" t="s">
        <v>537</v>
      </c>
      <c r="Q129" s="553">
        <v>5.0000000000000001E-3</v>
      </c>
      <c r="R129" s="554">
        <v>0.02</v>
      </c>
      <c r="X129" s="438"/>
    </row>
    <row r="130" spans="1:24" ht="11.25" customHeight="1" x14ac:dyDescent="0.2">
      <c r="A130" s="66" t="s">
        <v>114</v>
      </c>
      <c r="B130" s="549" t="s">
        <v>298</v>
      </c>
      <c r="C130" s="162" t="s">
        <v>283</v>
      </c>
      <c r="D130" s="561">
        <v>108</v>
      </c>
      <c r="E130" s="31">
        <v>107.87</v>
      </c>
      <c r="F130" s="555" t="s">
        <v>537</v>
      </c>
      <c r="G130" s="555" t="s">
        <v>537</v>
      </c>
      <c r="H130" s="555" t="s">
        <v>537</v>
      </c>
      <c r="I130" s="555" t="s">
        <v>537</v>
      </c>
      <c r="J130" s="555" t="s">
        <v>537</v>
      </c>
      <c r="K130" s="555" t="s">
        <v>537</v>
      </c>
      <c r="L130" s="555" t="s">
        <v>537</v>
      </c>
      <c r="M130" s="552">
        <v>0.04</v>
      </c>
      <c r="N130" s="552" t="s">
        <v>537</v>
      </c>
      <c r="O130" s="553" t="s">
        <v>537</v>
      </c>
      <c r="P130" s="553" t="s">
        <v>537</v>
      </c>
      <c r="Q130" s="553">
        <v>5.0000000000000001E-3</v>
      </c>
      <c r="R130" s="557" t="s">
        <v>537</v>
      </c>
      <c r="X130" s="438"/>
    </row>
    <row r="131" spans="1:24" ht="11.25" customHeight="1" x14ac:dyDescent="0.2">
      <c r="A131" s="66" t="s">
        <v>382</v>
      </c>
      <c r="B131" s="549" t="s">
        <v>298</v>
      </c>
      <c r="C131" s="162" t="s">
        <v>283</v>
      </c>
      <c r="D131" s="561">
        <v>202</v>
      </c>
      <c r="E131" s="31">
        <v>201.66</v>
      </c>
      <c r="F131" s="555">
        <v>146.5</v>
      </c>
      <c r="G131" s="555">
        <v>2.8000000000000001E-2</v>
      </c>
      <c r="H131" s="555">
        <v>7.4000000000000003E-6</v>
      </c>
      <c r="I131" s="555">
        <v>6.2</v>
      </c>
      <c r="J131" s="555">
        <v>2.1999999999999998E-8</v>
      </c>
      <c r="K131" s="555">
        <v>9.4000000000000006E-10</v>
      </c>
      <c r="L131" s="555">
        <v>3.8999999999999998E-8</v>
      </c>
      <c r="M131" s="551">
        <v>1</v>
      </c>
      <c r="N131" s="552">
        <v>0.1</v>
      </c>
      <c r="O131" s="553">
        <v>0.12</v>
      </c>
      <c r="P131" s="553" t="s">
        <v>537</v>
      </c>
      <c r="Q131" s="553">
        <v>5.0000000000000001E-3</v>
      </c>
      <c r="R131" s="557" t="s">
        <v>537</v>
      </c>
      <c r="X131" s="438"/>
    </row>
    <row r="132" spans="1:24" ht="11.25" customHeight="1" x14ac:dyDescent="0.2">
      <c r="A132" s="66" t="s">
        <v>452</v>
      </c>
      <c r="B132" s="549" t="s">
        <v>576</v>
      </c>
      <c r="C132" s="162" t="s">
        <v>297</v>
      </c>
      <c r="D132" s="561">
        <v>104</v>
      </c>
      <c r="E132" s="31">
        <v>104.15</v>
      </c>
      <c r="F132" s="555">
        <v>446.1</v>
      </c>
      <c r="G132" s="555">
        <v>7.0999999999999994E-2</v>
      </c>
      <c r="H132" s="555">
        <v>8.8000000000000004E-6</v>
      </c>
      <c r="I132" s="555">
        <v>310</v>
      </c>
      <c r="J132" s="555">
        <v>6.4</v>
      </c>
      <c r="K132" s="555">
        <v>2.8E-3</v>
      </c>
      <c r="L132" s="555">
        <v>0.11</v>
      </c>
      <c r="M132" s="551">
        <v>1</v>
      </c>
      <c r="N132" s="552" t="s">
        <v>537</v>
      </c>
      <c r="O132" s="553" t="s">
        <v>537</v>
      </c>
      <c r="P132" s="553" t="s">
        <v>537</v>
      </c>
      <c r="Q132" s="553">
        <v>0.2</v>
      </c>
      <c r="R132" s="554">
        <v>1</v>
      </c>
      <c r="X132" s="438"/>
    </row>
    <row r="133" spans="1:24" ht="11.25" customHeight="1" x14ac:dyDescent="0.2">
      <c r="A133" s="66" t="s">
        <v>383</v>
      </c>
      <c r="B133" s="549" t="s">
        <v>298</v>
      </c>
      <c r="C133" s="162" t="s">
        <v>283</v>
      </c>
      <c r="D133" s="561">
        <v>217</v>
      </c>
      <c r="E133" s="31">
        <v>216.67</v>
      </c>
      <c r="F133" s="555">
        <v>50.1</v>
      </c>
      <c r="G133" s="555">
        <v>2.7E-2</v>
      </c>
      <c r="H133" s="555">
        <v>7.1999999999999997E-6</v>
      </c>
      <c r="I133" s="555">
        <v>710</v>
      </c>
      <c r="J133" s="555">
        <v>4.7E-7</v>
      </c>
      <c r="K133" s="555">
        <v>1.2E-10</v>
      </c>
      <c r="L133" s="555">
        <v>4.9E-9</v>
      </c>
      <c r="M133" s="551">
        <v>1</v>
      </c>
      <c r="N133" s="552">
        <v>0.1</v>
      </c>
      <c r="O133" s="553" t="s">
        <v>537</v>
      </c>
      <c r="P133" s="553" t="s">
        <v>537</v>
      </c>
      <c r="Q133" s="553">
        <v>1.2999999999999999E-2</v>
      </c>
      <c r="R133" s="557" t="s">
        <v>537</v>
      </c>
      <c r="X133" s="438"/>
    </row>
    <row r="134" spans="1:24" ht="11.25" customHeight="1" x14ac:dyDescent="0.2">
      <c r="A134" s="66" t="s">
        <v>346</v>
      </c>
      <c r="B134" s="549" t="s">
        <v>576</v>
      </c>
      <c r="C134" s="162" t="s">
        <v>297</v>
      </c>
      <c r="D134" s="561">
        <v>74</v>
      </c>
      <c r="E134" s="63">
        <v>74</v>
      </c>
      <c r="F134" s="550">
        <v>37</v>
      </c>
      <c r="G134" s="550">
        <v>0.09</v>
      </c>
      <c r="H134" s="550">
        <v>9.0999999999999993E-6</v>
      </c>
      <c r="I134" s="550">
        <v>1000000</v>
      </c>
      <c r="J134" s="550">
        <v>40.700000000000003</v>
      </c>
      <c r="K134" s="550">
        <v>1.17E-5</v>
      </c>
      <c r="L134" s="550">
        <v>4.8000000000000001E-4</v>
      </c>
      <c r="M134" s="551">
        <v>1</v>
      </c>
      <c r="N134" s="552" t="s">
        <v>537</v>
      </c>
      <c r="O134" s="553">
        <v>3.0000000000000001E-3</v>
      </c>
      <c r="P134" s="553">
        <v>8.6000000000000002E-7</v>
      </c>
      <c r="Q134" s="555" t="s">
        <v>537</v>
      </c>
      <c r="R134" s="557" t="s">
        <v>537</v>
      </c>
      <c r="X134" s="438"/>
    </row>
    <row r="135" spans="1:24" ht="11.25" customHeight="1" x14ac:dyDescent="0.2">
      <c r="A135" s="66" t="s">
        <v>453</v>
      </c>
      <c r="B135" s="549" t="s">
        <v>576</v>
      </c>
      <c r="C135" s="162" t="s">
        <v>297</v>
      </c>
      <c r="D135" s="561">
        <v>168</v>
      </c>
      <c r="E135" s="31">
        <v>167.85</v>
      </c>
      <c r="F135" s="555">
        <v>86.03</v>
      </c>
      <c r="G135" s="555">
        <v>4.8000000000000001E-2</v>
      </c>
      <c r="H135" s="555">
        <v>9.0999999999999993E-6</v>
      </c>
      <c r="I135" s="555">
        <v>1070</v>
      </c>
      <c r="J135" s="555">
        <v>12</v>
      </c>
      <c r="K135" s="555">
        <v>2.5000000000000001E-3</v>
      </c>
      <c r="L135" s="555">
        <v>0.1</v>
      </c>
      <c r="M135" s="551">
        <v>1</v>
      </c>
      <c r="N135" s="552" t="s">
        <v>537</v>
      </c>
      <c r="O135" s="553">
        <v>2.5999999999999999E-2</v>
      </c>
      <c r="P135" s="553">
        <v>7.4000000000000003E-6</v>
      </c>
      <c r="Q135" s="553">
        <v>0.03</v>
      </c>
      <c r="R135" s="554">
        <v>0.12</v>
      </c>
      <c r="X135" s="438"/>
    </row>
    <row r="136" spans="1:24" ht="11.25" customHeight="1" x14ac:dyDescent="0.2">
      <c r="A136" s="66" t="s">
        <v>454</v>
      </c>
      <c r="B136" s="549" t="s">
        <v>576</v>
      </c>
      <c r="C136" s="162" t="s">
        <v>297</v>
      </c>
      <c r="D136" s="561">
        <v>168</v>
      </c>
      <c r="E136" s="31">
        <v>167.85</v>
      </c>
      <c r="F136" s="555">
        <v>94.94</v>
      </c>
      <c r="G136" s="555">
        <v>4.9000000000000002E-2</v>
      </c>
      <c r="H136" s="555">
        <v>9.3000000000000007E-6</v>
      </c>
      <c r="I136" s="555">
        <v>2830</v>
      </c>
      <c r="J136" s="555">
        <v>4.62</v>
      </c>
      <c r="K136" s="555">
        <v>3.6999999999999999E-4</v>
      </c>
      <c r="L136" s="555">
        <v>1.4999999999999999E-2</v>
      </c>
      <c r="M136" s="551">
        <v>1</v>
      </c>
      <c r="N136" s="552" t="s">
        <v>537</v>
      </c>
      <c r="O136" s="553">
        <v>0.2</v>
      </c>
      <c r="P136" s="553">
        <v>5.8E-5</v>
      </c>
      <c r="Q136" s="553">
        <v>0.02</v>
      </c>
      <c r="R136" s="557" t="s">
        <v>537</v>
      </c>
      <c r="X136" s="438"/>
    </row>
    <row r="137" spans="1:24" ht="11.25" customHeight="1" x14ac:dyDescent="0.2">
      <c r="A137" s="66" t="s">
        <v>455</v>
      </c>
      <c r="B137" s="549" t="s">
        <v>576</v>
      </c>
      <c r="C137" s="162" t="s">
        <v>297</v>
      </c>
      <c r="D137" s="561">
        <v>166</v>
      </c>
      <c r="E137" s="31">
        <v>165.83</v>
      </c>
      <c r="F137" s="555">
        <v>94.94</v>
      </c>
      <c r="G137" s="555">
        <v>0.05</v>
      </c>
      <c r="H137" s="555">
        <v>9.5000000000000005E-6</v>
      </c>
      <c r="I137" s="555">
        <v>206</v>
      </c>
      <c r="J137" s="555">
        <v>18.5</v>
      </c>
      <c r="K137" s="555">
        <v>1.7999999999999999E-2</v>
      </c>
      <c r="L137" s="555">
        <v>0.72</v>
      </c>
      <c r="M137" s="551">
        <v>1</v>
      </c>
      <c r="N137" s="552" t="s">
        <v>537</v>
      </c>
      <c r="O137" s="553">
        <v>2.1000000000000001E-2</v>
      </c>
      <c r="P137" s="553">
        <v>6.1E-6</v>
      </c>
      <c r="Q137" s="553">
        <v>6.0000000000000001E-3</v>
      </c>
      <c r="R137" s="554">
        <v>0.04</v>
      </c>
      <c r="X137" s="438"/>
    </row>
    <row r="138" spans="1:24" ht="11.25" customHeight="1" x14ac:dyDescent="0.2">
      <c r="A138" s="66" t="s">
        <v>384</v>
      </c>
      <c r="B138" s="549" t="s">
        <v>298</v>
      </c>
      <c r="C138" s="162" t="s">
        <v>283</v>
      </c>
      <c r="D138" s="561">
        <v>232</v>
      </c>
      <c r="E138" s="31">
        <v>231.89</v>
      </c>
      <c r="F138" s="555">
        <v>280</v>
      </c>
      <c r="G138" s="550">
        <v>0.05</v>
      </c>
      <c r="H138" s="550">
        <v>5.9000000000000003E-6</v>
      </c>
      <c r="I138" s="555">
        <v>23</v>
      </c>
      <c r="J138" s="555">
        <v>6.7000000000000002E-4</v>
      </c>
      <c r="K138" s="555">
        <v>8.8000000000000004E-6</v>
      </c>
      <c r="L138" s="555">
        <v>3.6000000000000002E-4</v>
      </c>
      <c r="M138" s="551">
        <v>1</v>
      </c>
      <c r="N138" s="552">
        <v>0.1</v>
      </c>
      <c r="O138" s="553" t="s">
        <v>537</v>
      </c>
      <c r="P138" s="553" t="s">
        <v>537</v>
      </c>
      <c r="Q138" s="553">
        <v>0.03</v>
      </c>
      <c r="R138" s="557" t="s">
        <v>537</v>
      </c>
      <c r="X138" s="438"/>
    </row>
    <row r="139" spans="1:24" ht="11.25" customHeight="1" x14ac:dyDescent="0.2">
      <c r="A139" s="66" t="s">
        <v>385</v>
      </c>
      <c r="B139" s="549" t="s">
        <v>298</v>
      </c>
      <c r="C139" s="162" t="s">
        <v>283</v>
      </c>
      <c r="D139" s="561">
        <v>296</v>
      </c>
      <c r="E139" s="31">
        <v>296.16000000000003</v>
      </c>
      <c r="F139" s="555">
        <v>531.6</v>
      </c>
      <c r="G139" s="555">
        <v>4.2999999999999997E-2</v>
      </c>
      <c r="H139" s="555">
        <v>5.0000000000000004E-6</v>
      </c>
      <c r="I139" s="555">
        <v>5</v>
      </c>
      <c r="J139" s="555">
        <v>3.2999999999999998E-14</v>
      </c>
      <c r="K139" s="555">
        <v>8.6999999999999999E-10</v>
      </c>
      <c r="L139" s="555">
        <v>3.5000000000000002E-8</v>
      </c>
      <c r="M139" s="551">
        <v>1</v>
      </c>
      <c r="N139" s="552">
        <v>6.0000000000000001E-3</v>
      </c>
      <c r="O139" s="553" t="s">
        <v>537</v>
      </c>
      <c r="P139" s="553" t="s">
        <v>537</v>
      </c>
      <c r="Q139" s="553">
        <v>0.05</v>
      </c>
      <c r="R139" s="557" t="s">
        <v>537</v>
      </c>
      <c r="X139" s="438"/>
    </row>
    <row r="140" spans="1:24" ht="11.25" customHeight="1" x14ac:dyDescent="0.2">
      <c r="A140" s="66" t="s">
        <v>456</v>
      </c>
      <c r="B140" s="549" t="s">
        <v>298</v>
      </c>
      <c r="C140" s="162" t="s">
        <v>283</v>
      </c>
      <c r="D140" s="561">
        <v>204</v>
      </c>
      <c r="E140" s="31">
        <v>204.38</v>
      </c>
      <c r="F140" s="555" t="s">
        <v>537</v>
      </c>
      <c r="G140" s="555" t="s">
        <v>537</v>
      </c>
      <c r="H140" s="555" t="s">
        <v>537</v>
      </c>
      <c r="I140" s="555" t="s">
        <v>537</v>
      </c>
      <c r="J140" s="555" t="s">
        <v>537</v>
      </c>
      <c r="K140" s="555" t="s">
        <v>537</v>
      </c>
      <c r="L140" s="555" t="s">
        <v>537</v>
      </c>
      <c r="M140" s="551">
        <v>1</v>
      </c>
      <c r="N140" s="552" t="s">
        <v>537</v>
      </c>
      <c r="O140" s="553" t="s">
        <v>537</v>
      </c>
      <c r="P140" s="553" t="s">
        <v>537</v>
      </c>
      <c r="Q140" s="553">
        <v>1.0000000000000001E-5</v>
      </c>
      <c r="R140" s="557" t="s">
        <v>537</v>
      </c>
      <c r="X140" s="438"/>
    </row>
    <row r="141" spans="1:24" ht="11.25" customHeight="1" x14ac:dyDescent="0.2">
      <c r="A141" s="66" t="s">
        <v>124</v>
      </c>
      <c r="B141" s="549" t="s">
        <v>576</v>
      </c>
      <c r="C141" s="162" t="s">
        <v>297</v>
      </c>
      <c r="D141" s="561">
        <v>92</v>
      </c>
      <c r="E141" s="31">
        <v>92.14</v>
      </c>
      <c r="F141" s="555">
        <v>233.9</v>
      </c>
      <c r="G141" s="555">
        <v>7.8E-2</v>
      </c>
      <c r="H141" s="555">
        <v>9.2E-6</v>
      </c>
      <c r="I141" s="555">
        <v>526</v>
      </c>
      <c r="J141" s="555">
        <v>28.4</v>
      </c>
      <c r="K141" s="555">
        <v>6.6E-3</v>
      </c>
      <c r="L141" s="555">
        <v>0.27</v>
      </c>
      <c r="M141" s="551">
        <v>1</v>
      </c>
      <c r="N141" s="552" t="s">
        <v>537</v>
      </c>
      <c r="O141" s="553" t="s">
        <v>537</v>
      </c>
      <c r="P141" s="553" t="s">
        <v>537</v>
      </c>
      <c r="Q141" s="553">
        <v>0.08</v>
      </c>
      <c r="R141" s="554">
        <v>5</v>
      </c>
      <c r="X141" s="438"/>
    </row>
    <row r="142" spans="1:24" ht="11.25" customHeight="1" x14ac:dyDescent="0.2">
      <c r="A142" s="66" t="s">
        <v>347</v>
      </c>
      <c r="B142" s="549" t="s">
        <v>298</v>
      </c>
      <c r="C142" s="162" t="s">
        <v>283</v>
      </c>
      <c r="D142" s="561">
        <v>414</v>
      </c>
      <c r="E142" s="31">
        <v>413.82</v>
      </c>
      <c r="F142" s="555">
        <v>77200</v>
      </c>
      <c r="G142" s="555">
        <v>3.2000000000000001E-2</v>
      </c>
      <c r="H142" s="555">
        <v>3.8E-6</v>
      </c>
      <c r="I142" s="555">
        <v>0.55000000000000004</v>
      </c>
      <c r="J142" s="555">
        <v>6.7000000000000002E-6</v>
      </c>
      <c r="K142" s="555">
        <v>6.0000000000000002E-6</v>
      </c>
      <c r="L142" s="555">
        <v>2.5000000000000001E-4</v>
      </c>
      <c r="M142" s="551">
        <v>1</v>
      </c>
      <c r="N142" s="552">
        <v>0.1</v>
      </c>
      <c r="O142" s="553">
        <v>1.1000000000000001</v>
      </c>
      <c r="P142" s="553">
        <v>3.2000000000000003E-4</v>
      </c>
      <c r="Q142" s="553" t="s">
        <v>537</v>
      </c>
      <c r="R142" s="557" t="s">
        <v>537</v>
      </c>
      <c r="X142" s="438"/>
    </row>
    <row r="143" spans="1:24" ht="11.25" customHeight="1" x14ac:dyDescent="0.2">
      <c r="A143" s="66" t="s">
        <v>183</v>
      </c>
      <c r="B143" s="549" t="s">
        <v>576</v>
      </c>
      <c r="C143" s="162" t="s">
        <v>297</v>
      </c>
      <c r="D143" s="561">
        <v>119</v>
      </c>
      <c r="E143" s="63">
        <v>119</v>
      </c>
      <c r="F143" s="550">
        <v>1778</v>
      </c>
      <c r="G143" s="550">
        <v>7.0000000000000007E-2</v>
      </c>
      <c r="H143" s="550">
        <v>1.0000000000000001E-5</v>
      </c>
      <c r="I143" s="550">
        <v>150</v>
      </c>
      <c r="J143" s="550">
        <v>300</v>
      </c>
      <c r="K143" s="555">
        <v>0.33</v>
      </c>
      <c r="L143" s="550">
        <v>13.860000000000001</v>
      </c>
      <c r="M143" s="551">
        <v>1</v>
      </c>
      <c r="N143" s="564">
        <v>0.1</v>
      </c>
      <c r="O143" s="553" t="s">
        <v>537</v>
      </c>
      <c r="P143" s="553" t="s">
        <v>537</v>
      </c>
      <c r="Q143" s="555">
        <v>0.03</v>
      </c>
      <c r="R143" s="557">
        <v>0.28100000000000003</v>
      </c>
      <c r="X143" s="438"/>
    </row>
    <row r="144" spans="1:24" ht="11.25" customHeight="1" x14ac:dyDescent="0.2">
      <c r="A144" s="66" t="s">
        <v>182</v>
      </c>
      <c r="B144" s="549" t="s">
        <v>576</v>
      </c>
      <c r="C144" s="162" t="s">
        <v>297</v>
      </c>
      <c r="D144" s="561">
        <v>201</v>
      </c>
      <c r="E144" s="63">
        <v>150</v>
      </c>
      <c r="F144" s="550">
        <v>1778</v>
      </c>
      <c r="G144" s="550">
        <v>7.0000000000000007E-2</v>
      </c>
      <c r="H144" s="550">
        <v>1.0000000000000001E-5</v>
      </c>
      <c r="I144" s="550">
        <v>51</v>
      </c>
      <c r="J144" s="550">
        <v>1</v>
      </c>
      <c r="K144" s="555">
        <v>0.33</v>
      </c>
      <c r="L144" s="550">
        <v>13.860000000000001</v>
      </c>
      <c r="M144" s="551">
        <v>1</v>
      </c>
      <c r="N144" s="564">
        <v>0.1</v>
      </c>
      <c r="O144" s="553" t="s">
        <v>537</v>
      </c>
      <c r="P144" s="553" t="s">
        <v>537</v>
      </c>
      <c r="Q144" s="555">
        <v>0.02</v>
      </c>
      <c r="R144" s="557">
        <v>0.126</v>
      </c>
      <c r="X144" s="438"/>
    </row>
    <row r="145" spans="1:24" ht="11.25" customHeight="1" x14ac:dyDescent="0.2">
      <c r="A145" s="66" t="s">
        <v>325</v>
      </c>
      <c r="B145" s="549" t="s">
        <v>298</v>
      </c>
      <c r="C145" s="162" t="s">
        <v>297</v>
      </c>
      <c r="D145" s="561">
        <v>236</v>
      </c>
      <c r="E145" s="63">
        <v>236</v>
      </c>
      <c r="F145" s="550" t="s">
        <v>537</v>
      </c>
      <c r="G145" s="550" t="s">
        <v>537</v>
      </c>
      <c r="H145" s="550" t="s">
        <v>537</v>
      </c>
      <c r="I145" s="550" t="s">
        <v>537</v>
      </c>
      <c r="J145" s="550" t="s">
        <v>537</v>
      </c>
      <c r="K145" s="550" t="s">
        <v>537</v>
      </c>
      <c r="L145" s="550" t="s">
        <v>537</v>
      </c>
      <c r="M145" s="551">
        <v>1</v>
      </c>
      <c r="N145" s="564" t="s">
        <v>537</v>
      </c>
      <c r="O145" s="553" t="s">
        <v>537</v>
      </c>
      <c r="P145" s="553" t="s">
        <v>537</v>
      </c>
      <c r="Q145" s="555">
        <v>0.12</v>
      </c>
      <c r="R145" s="557" t="s">
        <v>537</v>
      </c>
      <c r="X145" s="438"/>
    </row>
    <row r="146" spans="1:24" ht="11.25" customHeight="1" x14ac:dyDescent="0.2">
      <c r="A146" s="66" t="s">
        <v>115</v>
      </c>
      <c r="B146" s="549" t="s">
        <v>576</v>
      </c>
      <c r="C146" s="162" t="s">
        <v>283</v>
      </c>
      <c r="D146" s="561">
        <v>181</v>
      </c>
      <c r="E146" s="31">
        <v>181.45</v>
      </c>
      <c r="F146" s="555">
        <v>1356</v>
      </c>
      <c r="G146" s="555">
        <v>0.04</v>
      </c>
      <c r="H146" s="555">
        <v>8.3999999999999992E-6</v>
      </c>
      <c r="I146" s="555">
        <v>49</v>
      </c>
      <c r="J146" s="555">
        <v>0.46</v>
      </c>
      <c r="K146" s="555">
        <v>1.4E-3</v>
      </c>
      <c r="L146" s="555">
        <v>5.8000000000000003E-2</v>
      </c>
      <c r="M146" s="551">
        <v>1</v>
      </c>
      <c r="N146" s="552" t="s">
        <v>537</v>
      </c>
      <c r="O146" s="553">
        <v>2.9000000000000001E-2</v>
      </c>
      <c r="P146" s="553" t="s">
        <v>537</v>
      </c>
      <c r="Q146" s="553">
        <v>0.01</v>
      </c>
      <c r="R146" s="554">
        <v>2E-3</v>
      </c>
      <c r="X146" s="438"/>
    </row>
    <row r="147" spans="1:24" ht="11.25" customHeight="1" x14ac:dyDescent="0.2">
      <c r="A147" s="66" t="s">
        <v>116</v>
      </c>
      <c r="B147" s="549" t="s">
        <v>576</v>
      </c>
      <c r="C147" s="162" t="s">
        <v>297</v>
      </c>
      <c r="D147" s="561">
        <v>133</v>
      </c>
      <c r="E147" s="31">
        <v>133.41</v>
      </c>
      <c r="F147" s="555">
        <v>43.89</v>
      </c>
      <c r="G147" s="555">
        <v>6.5000000000000002E-2</v>
      </c>
      <c r="H147" s="555">
        <v>9.5999999999999996E-6</v>
      </c>
      <c r="I147" s="555">
        <v>1290</v>
      </c>
      <c r="J147" s="555">
        <v>124</v>
      </c>
      <c r="K147" s="555">
        <v>1.7000000000000001E-2</v>
      </c>
      <c r="L147" s="555">
        <v>0.7</v>
      </c>
      <c r="M147" s="551">
        <v>1</v>
      </c>
      <c r="N147" s="552" t="s">
        <v>537</v>
      </c>
      <c r="O147" s="553" t="s">
        <v>537</v>
      </c>
      <c r="P147" s="553" t="s">
        <v>537</v>
      </c>
      <c r="Q147" s="553">
        <v>2</v>
      </c>
      <c r="R147" s="554">
        <v>5</v>
      </c>
      <c r="X147" s="438"/>
    </row>
    <row r="148" spans="1:24" ht="11.25" customHeight="1" x14ac:dyDescent="0.2">
      <c r="A148" s="66" t="s">
        <v>457</v>
      </c>
      <c r="B148" s="549" t="s">
        <v>576</v>
      </c>
      <c r="C148" s="162" t="s">
        <v>297</v>
      </c>
      <c r="D148" s="561">
        <v>133</v>
      </c>
      <c r="E148" s="31">
        <v>133.41</v>
      </c>
      <c r="F148" s="555">
        <v>60.7</v>
      </c>
      <c r="G148" s="555">
        <v>6.7000000000000004E-2</v>
      </c>
      <c r="H148" s="555">
        <v>1.0000000000000001E-5</v>
      </c>
      <c r="I148" s="555">
        <v>4590</v>
      </c>
      <c r="J148" s="555">
        <v>23</v>
      </c>
      <c r="K148" s="555">
        <v>8.1999999999999998E-4</v>
      </c>
      <c r="L148" s="555">
        <v>3.4000000000000002E-2</v>
      </c>
      <c r="M148" s="551">
        <v>1</v>
      </c>
      <c r="N148" s="552" t="s">
        <v>537</v>
      </c>
      <c r="O148" s="553">
        <v>5.7000000000000002E-2</v>
      </c>
      <c r="P148" s="553">
        <v>1.5999999999999999E-5</v>
      </c>
      <c r="Q148" s="553">
        <v>4.0000000000000001E-3</v>
      </c>
      <c r="R148" s="554">
        <v>2.0000000000000001E-4</v>
      </c>
      <c r="X148" s="438"/>
    </row>
    <row r="149" spans="1:24" ht="11.25" customHeight="1" x14ac:dyDescent="0.2">
      <c r="A149" s="66" t="s">
        <v>458</v>
      </c>
      <c r="B149" s="549" t="s">
        <v>576</v>
      </c>
      <c r="C149" s="162" t="s">
        <v>297</v>
      </c>
      <c r="D149" s="561">
        <v>131</v>
      </c>
      <c r="E149" s="31">
        <v>131.38999999999999</v>
      </c>
      <c r="F149" s="555">
        <v>60.7</v>
      </c>
      <c r="G149" s="555">
        <v>6.9000000000000006E-2</v>
      </c>
      <c r="H149" s="555">
        <v>1.0000000000000001E-5</v>
      </c>
      <c r="I149" s="555">
        <v>1280</v>
      </c>
      <c r="J149" s="555">
        <v>69</v>
      </c>
      <c r="K149" s="555">
        <v>9.9000000000000008E-3</v>
      </c>
      <c r="L149" s="555">
        <v>0.4</v>
      </c>
      <c r="M149" s="551">
        <v>1</v>
      </c>
      <c r="N149" s="552" t="s">
        <v>537</v>
      </c>
      <c r="O149" s="553">
        <v>4.5999999999999999E-2</v>
      </c>
      <c r="P149" s="553">
        <v>4.0999999999999997E-6</v>
      </c>
      <c r="Q149" s="553">
        <v>5.0000000000000001E-4</v>
      </c>
      <c r="R149" s="554">
        <v>2E-3</v>
      </c>
      <c r="X149" s="438"/>
    </row>
    <row r="150" spans="1:24" ht="11.25" customHeight="1" x14ac:dyDescent="0.2">
      <c r="A150" s="66" t="s">
        <v>459</v>
      </c>
      <c r="B150" s="549" t="s">
        <v>298</v>
      </c>
      <c r="C150" s="162" t="s">
        <v>283</v>
      </c>
      <c r="D150" s="561">
        <v>198</v>
      </c>
      <c r="E150" s="31">
        <v>197.45</v>
      </c>
      <c r="F150" s="555">
        <v>1597</v>
      </c>
      <c r="G150" s="555">
        <v>3.1E-2</v>
      </c>
      <c r="H150" s="555">
        <v>8.1000000000000004E-6</v>
      </c>
      <c r="I150" s="555">
        <v>1200</v>
      </c>
      <c r="J150" s="555">
        <v>7.4999999999999997E-3</v>
      </c>
      <c r="K150" s="555">
        <v>1.5999999999999999E-6</v>
      </c>
      <c r="L150" s="555">
        <v>6.6000000000000005E-5</v>
      </c>
      <c r="M150" s="551">
        <v>1</v>
      </c>
      <c r="N150" s="552">
        <v>0.1</v>
      </c>
      <c r="O150" s="553" t="s">
        <v>537</v>
      </c>
      <c r="P150" s="553" t="s">
        <v>537</v>
      </c>
      <c r="Q150" s="553">
        <v>0.1</v>
      </c>
      <c r="R150" s="554" t="s">
        <v>537</v>
      </c>
      <c r="X150" s="438"/>
    </row>
    <row r="151" spans="1:24" ht="11.25" customHeight="1" x14ac:dyDescent="0.2">
      <c r="A151" s="66" t="s">
        <v>460</v>
      </c>
      <c r="B151" s="549" t="s">
        <v>298</v>
      </c>
      <c r="C151" s="162" t="s">
        <v>283</v>
      </c>
      <c r="D151" s="561">
        <v>198</v>
      </c>
      <c r="E151" s="31">
        <v>197.45</v>
      </c>
      <c r="F151" s="555">
        <v>381</v>
      </c>
      <c r="G151" s="555">
        <v>3.1E-2</v>
      </c>
      <c r="H151" s="555">
        <v>8.1000000000000004E-6</v>
      </c>
      <c r="I151" s="555">
        <v>800</v>
      </c>
      <c r="J151" s="555">
        <v>8.0000000000000002E-3</v>
      </c>
      <c r="K151" s="555">
        <v>2.6000000000000001E-6</v>
      </c>
      <c r="L151" s="555">
        <v>1.1E-4</v>
      </c>
      <c r="M151" s="551">
        <v>1</v>
      </c>
      <c r="N151" s="552">
        <v>0.1</v>
      </c>
      <c r="O151" s="553">
        <v>1.0999999999999999E-2</v>
      </c>
      <c r="P151" s="553">
        <v>3.1E-6</v>
      </c>
      <c r="Q151" s="553">
        <v>1E-3</v>
      </c>
      <c r="R151" s="557" t="s">
        <v>537</v>
      </c>
      <c r="X151" s="438"/>
    </row>
    <row r="152" spans="1:24" ht="11.25" customHeight="1" x14ac:dyDescent="0.2">
      <c r="A152" s="130" t="s">
        <v>386</v>
      </c>
      <c r="B152" s="549" t="s">
        <v>298</v>
      </c>
      <c r="C152" s="162" t="s">
        <v>283</v>
      </c>
      <c r="D152" s="561">
        <v>255</v>
      </c>
      <c r="E152" s="31">
        <v>255.49</v>
      </c>
      <c r="F152" s="555">
        <v>107</v>
      </c>
      <c r="G152" s="555">
        <v>2.9000000000000001E-2</v>
      </c>
      <c r="H152" s="555">
        <v>7.7999999999999999E-6</v>
      </c>
      <c r="I152" s="555">
        <v>278</v>
      </c>
      <c r="J152" s="555">
        <v>3.8000000000000002E-5</v>
      </c>
      <c r="K152" s="555">
        <v>8.7000000000000001E-9</v>
      </c>
      <c r="L152" s="555">
        <v>3.4999999999999998E-7</v>
      </c>
      <c r="M152" s="551">
        <v>1</v>
      </c>
      <c r="N152" s="552">
        <v>0.1</v>
      </c>
      <c r="O152" s="553" t="s">
        <v>537</v>
      </c>
      <c r="P152" s="553" t="s">
        <v>537</v>
      </c>
      <c r="Q152" s="553">
        <v>0.01</v>
      </c>
      <c r="R152" s="557" t="s">
        <v>537</v>
      </c>
      <c r="X152" s="438"/>
    </row>
    <row r="153" spans="1:24" ht="11.25" customHeight="1" x14ac:dyDescent="0.2">
      <c r="A153" s="66" t="s">
        <v>387</v>
      </c>
      <c r="B153" s="549" t="s">
        <v>298</v>
      </c>
      <c r="C153" s="162" t="s">
        <v>283</v>
      </c>
      <c r="D153" s="561">
        <v>270</v>
      </c>
      <c r="E153" s="31">
        <v>269.51</v>
      </c>
      <c r="F153" s="555">
        <v>175.3</v>
      </c>
      <c r="G153" s="555">
        <v>2.3E-2</v>
      </c>
      <c r="H153" s="555">
        <v>5.9000000000000003E-6</v>
      </c>
      <c r="I153" s="555">
        <v>71</v>
      </c>
      <c r="J153" s="555">
        <v>1.0000000000000001E-5</v>
      </c>
      <c r="K153" s="555">
        <v>9.1000000000000004E-9</v>
      </c>
      <c r="L153" s="555">
        <v>3.7E-7</v>
      </c>
      <c r="M153" s="551">
        <v>1</v>
      </c>
      <c r="N153" s="552">
        <v>0.1</v>
      </c>
      <c r="O153" s="553" t="s">
        <v>537</v>
      </c>
      <c r="P153" s="553" t="s">
        <v>537</v>
      </c>
      <c r="Q153" s="553">
        <v>8.0000000000000002E-3</v>
      </c>
      <c r="R153" s="557" t="s">
        <v>537</v>
      </c>
      <c r="X153" s="438"/>
    </row>
    <row r="154" spans="1:24" ht="11.25" customHeight="1" x14ac:dyDescent="0.2">
      <c r="A154" s="66" t="s">
        <v>388</v>
      </c>
      <c r="B154" s="549" t="s">
        <v>576</v>
      </c>
      <c r="C154" s="162" t="s">
        <v>297</v>
      </c>
      <c r="D154" s="561">
        <v>147</v>
      </c>
      <c r="E154" s="31">
        <v>147.43</v>
      </c>
      <c r="F154" s="555">
        <v>115.8</v>
      </c>
      <c r="G154" s="555">
        <v>5.7000000000000002E-2</v>
      </c>
      <c r="H154" s="555">
        <v>9.2E-6</v>
      </c>
      <c r="I154" s="555">
        <v>1750</v>
      </c>
      <c r="J154" s="555">
        <v>3.69</v>
      </c>
      <c r="K154" s="555">
        <v>3.4000000000000002E-4</v>
      </c>
      <c r="L154" s="555">
        <v>1.4E-2</v>
      </c>
      <c r="M154" s="551">
        <v>1</v>
      </c>
      <c r="N154" s="552" t="s">
        <v>537</v>
      </c>
      <c r="O154" s="553">
        <v>30</v>
      </c>
      <c r="P154" s="553" t="s">
        <v>537</v>
      </c>
      <c r="Q154" s="553">
        <v>4.0000000000000001E-3</v>
      </c>
      <c r="R154" s="554">
        <v>2.9999999999999997E-4</v>
      </c>
      <c r="X154" s="438"/>
    </row>
    <row r="155" spans="1:24" ht="11.25" customHeight="1" x14ac:dyDescent="0.2">
      <c r="A155" s="66" t="s">
        <v>389</v>
      </c>
      <c r="B155" s="549" t="s">
        <v>576</v>
      </c>
      <c r="C155" s="162" t="s">
        <v>297</v>
      </c>
      <c r="D155" s="561">
        <v>145</v>
      </c>
      <c r="E155" s="63">
        <v>145</v>
      </c>
      <c r="F155" s="550">
        <v>115.8</v>
      </c>
      <c r="G155" s="550">
        <v>5.8999999999999997E-2</v>
      </c>
      <c r="H155" s="550">
        <v>9.3999999999999998E-6</v>
      </c>
      <c r="I155" s="550">
        <v>334.2</v>
      </c>
      <c r="J155" s="550">
        <v>4.4000000000000004</v>
      </c>
      <c r="K155" s="550">
        <v>1.7999999999999999E-2</v>
      </c>
      <c r="L155" s="550">
        <v>0.72</v>
      </c>
      <c r="M155" s="551">
        <v>1</v>
      </c>
      <c r="N155" s="552" t="s">
        <v>537</v>
      </c>
      <c r="O155" s="553" t="s">
        <v>537</v>
      </c>
      <c r="P155" s="553" t="s">
        <v>537</v>
      </c>
      <c r="Q155" s="553">
        <v>3.0000000000000001E-3</v>
      </c>
      <c r="R155" s="554">
        <v>2.9999999999999997E-4</v>
      </c>
      <c r="X155" s="438"/>
    </row>
    <row r="156" spans="1:24" ht="11.25" customHeight="1" x14ac:dyDescent="0.2">
      <c r="A156" s="66" t="s">
        <v>390</v>
      </c>
      <c r="B156" s="549" t="s">
        <v>577</v>
      </c>
      <c r="C156" s="162" t="s">
        <v>283</v>
      </c>
      <c r="D156" s="561">
        <v>335</v>
      </c>
      <c r="E156" s="31">
        <v>335.29</v>
      </c>
      <c r="F156" s="555">
        <v>16390</v>
      </c>
      <c r="G156" s="555">
        <v>2.1999999999999999E-2</v>
      </c>
      <c r="H156" s="555">
        <v>5.5999999999999997E-6</v>
      </c>
      <c r="I156" s="555">
        <v>0.18</v>
      </c>
      <c r="J156" s="555">
        <v>4.6E-5</v>
      </c>
      <c r="K156" s="555">
        <v>1E-4</v>
      </c>
      <c r="L156" s="555">
        <v>4.1999999999999997E-3</v>
      </c>
      <c r="M156" s="551">
        <v>1</v>
      </c>
      <c r="N156" s="552" t="s">
        <v>537</v>
      </c>
      <c r="O156" s="553">
        <v>7.7000000000000002E-3</v>
      </c>
      <c r="P156" s="553" t="s">
        <v>537</v>
      </c>
      <c r="Q156" s="553">
        <v>7.4999999999999997E-3</v>
      </c>
      <c r="R156" s="557" t="s">
        <v>537</v>
      </c>
      <c r="X156" s="438"/>
    </row>
    <row r="157" spans="1:24" ht="11.25" customHeight="1" x14ac:dyDescent="0.2">
      <c r="A157" s="66" t="s">
        <v>300</v>
      </c>
      <c r="B157" s="549" t="s">
        <v>298</v>
      </c>
      <c r="C157" s="162" t="s">
        <v>283</v>
      </c>
      <c r="D157" s="561">
        <v>213</v>
      </c>
      <c r="E157" s="31">
        <v>213.11</v>
      </c>
      <c r="F157" s="555">
        <v>1683</v>
      </c>
      <c r="G157" s="555">
        <v>2.9000000000000001E-2</v>
      </c>
      <c r="H157" s="555">
        <v>7.7000000000000008E-6</v>
      </c>
      <c r="I157" s="555">
        <v>278</v>
      </c>
      <c r="J157" s="555">
        <v>6.3999999999999997E-6</v>
      </c>
      <c r="K157" s="555">
        <v>6.5000000000000003E-9</v>
      </c>
      <c r="L157" s="555">
        <v>2.7000000000000001E-7</v>
      </c>
      <c r="M157" s="551">
        <v>1</v>
      </c>
      <c r="N157" s="552">
        <v>1.9E-2</v>
      </c>
      <c r="O157" s="553" t="s">
        <v>537</v>
      </c>
      <c r="P157" s="553" t="s">
        <v>537</v>
      </c>
      <c r="Q157" s="553">
        <v>0.03</v>
      </c>
      <c r="R157" s="557" t="s">
        <v>537</v>
      </c>
      <c r="X157" s="438"/>
    </row>
    <row r="158" spans="1:24" ht="11.25" customHeight="1" x14ac:dyDescent="0.2">
      <c r="A158" s="66" t="s">
        <v>391</v>
      </c>
      <c r="B158" s="549" t="s">
        <v>298</v>
      </c>
      <c r="C158" s="162" t="s">
        <v>283</v>
      </c>
      <c r="D158" s="561">
        <v>287</v>
      </c>
      <c r="E158" s="31">
        <v>287.14999999999998</v>
      </c>
      <c r="F158" s="555">
        <v>4605</v>
      </c>
      <c r="G158" s="555">
        <v>2.5999999999999999E-2</v>
      </c>
      <c r="H158" s="555">
        <v>6.7000000000000002E-6</v>
      </c>
      <c r="I158" s="555">
        <v>74</v>
      </c>
      <c r="J158" s="555">
        <v>5.7000000000000001E-8</v>
      </c>
      <c r="K158" s="555">
        <v>2.7000000000000002E-9</v>
      </c>
      <c r="L158" s="555">
        <v>1.1000000000000001E-7</v>
      </c>
      <c r="M158" s="551">
        <v>1</v>
      </c>
      <c r="N158" s="552">
        <v>6.4999999999999997E-4</v>
      </c>
      <c r="O158" s="553" t="s">
        <v>537</v>
      </c>
      <c r="P158" s="553" t="s">
        <v>537</v>
      </c>
      <c r="Q158" s="553">
        <v>2E-3</v>
      </c>
      <c r="R158" s="557" t="s">
        <v>537</v>
      </c>
      <c r="X158" s="438"/>
    </row>
    <row r="159" spans="1:24" ht="11.25" customHeight="1" x14ac:dyDescent="0.2">
      <c r="A159" s="66" t="s">
        <v>393</v>
      </c>
      <c r="B159" s="549" t="s">
        <v>298</v>
      </c>
      <c r="C159" s="162" t="s">
        <v>283</v>
      </c>
      <c r="D159" s="561">
        <v>227</v>
      </c>
      <c r="E159" s="31">
        <v>227.13</v>
      </c>
      <c r="F159" s="555">
        <v>2812</v>
      </c>
      <c r="G159" s="555">
        <v>0.03</v>
      </c>
      <c r="H159" s="555">
        <v>7.9000000000000006E-6</v>
      </c>
      <c r="I159" s="555">
        <v>115</v>
      </c>
      <c r="J159" s="555">
        <v>7.9999999999999996E-6</v>
      </c>
      <c r="K159" s="555">
        <v>2.0999999999999999E-8</v>
      </c>
      <c r="L159" s="555">
        <v>8.5000000000000001E-7</v>
      </c>
      <c r="M159" s="551">
        <v>1</v>
      </c>
      <c r="N159" s="552">
        <v>3.2000000000000001E-2</v>
      </c>
      <c r="O159" s="553">
        <v>0.03</v>
      </c>
      <c r="P159" s="553" t="s">
        <v>537</v>
      </c>
      <c r="Q159" s="553">
        <v>5.0000000000000001E-4</v>
      </c>
      <c r="R159" s="557" t="s">
        <v>537</v>
      </c>
      <c r="X159" s="438"/>
    </row>
    <row r="160" spans="1:24" ht="11.25" customHeight="1" x14ac:dyDescent="0.2">
      <c r="A160" s="66" t="s">
        <v>461</v>
      </c>
      <c r="B160" s="549" t="s">
        <v>298</v>
      </c>
      <c r="C160" s="162" t="s">
        <v>283</v>
      </c>
      <c r="D160" s="561">
        <v>51</v>
      </c>
      <c r="E160" s="31">
        <v>50.94</v>
      </c>
      <c r="F160" s="555" t="s">
        <v>537</v>
      </c>
      <c r="G160" s="555" t="s">
        <v>537</v>
      </c>
      <c r="H160" s="555" t="s">
        <v>537</v>
      </c>
      <c r="I160" s="555" t="s">
        <v>537</v>
      </c>
      <c r="J160" s="555" t="s">
        <v>537</v>
      </c>
      <c r="K160" s="555" t="s">
        <v>537</v>
      </c>
      <c r="L160" s="555" t="s">
        <v>537</v>
      </c>
      <c r="M160" s="552">
        <v>2.5999999999999999E-2</v>
      </c>
      <c r="N160" s="552" t="s">
        <v>537</v>
      </c>
      <c r="O160" s="553" t="s">
        <v>537</v>
      </c>
      <c r="P160" s="553" t="s">
        <v>537</v>
      </c>
      <c r="Q160" s="553">
        <v>5.0000000000000001E-3</v>
      </c>
      <c r="R160" s="554">
        <v>1E-4</v>
      </c>
      <c r="X160" s="438"/>
    </row>
    <row r="161" spans="1:24" ht="11.25" customHeight="1" x14ac:dyDescent="0.2">
      <c r="A161" s="66" t="s">
        <v>462</v>
      </c>
      <c r="B161" s="549" t="s">
        <v>576</v>
      </c>
      <c r="C161" s="162" t="s">
        <v>348</v>
      </c>
      <c r="D161" s="561">
        <v>63</v>
      </c>
      <c r="E161" s="31">
        <v>62.5</v>
      </c>
      <c r="F161" s="555">
        <v>21.73</v>
      </c>
      <c r="G161" s="555">
        <v>0.11</v>
      </c>
      <c r="H161" s="555">
        <v>1.2E-5</v>
      </c>
      <c r="I161" s="555">
        <v>8800</v>
      </c>
      <c r="J161" s="555">
        <v>2980</v>
      </c>
      <c r="K161" s="555">
        <v>2.8000000000000001E-2</v>
      </c>
      <c r="L161" s="555">
        <v>1.1000000000000001</v>
      </c>
      <c r="M161" s="551">
        <v>1</v>
      </c>
      <c r="N161" s="552" t="s">
        <v>537</v>
      </c>
      <c r="O161" s="553">
        <v>0.72</v>
      </c>
      <c r="P161" s="553">
        <v>4.4000000000000002E-6</v>
      </c>
      <c r="Q161" s="553">
        <v>3.0000000000000001E-3</v>
      </c>
      <c r="R161" s="554">
        <v>0.1</v>
      </c>
      <c r="X161" s="438"/>
    </row>
    <row r="162" spans="1:24" ht="11.25" customHeight="1" x14ac:dyDescent="0.2">
      <c r="A162" s="66" t="s">
        <v>463</v>
      </c>
      <c r="B162" s="549" t="s">
        <v>576</v>
      </c>
      <c r="C162" s="162" t="s">
        <v>297</v>
      </c>
      <c r="D162" s="561">
        <v>106</v>
      </c>
      <c r="E162" s="31">
        <v>106.17</v>
      </c>
      <c r="F162" s="555">
        <v>382.9</v>
      </c>
      <c r="G162" s="555">
        <v>6.9000000000000006E-2</v>
      </c>
      <c r="H162" s="555">
        <v>8.4999999999999999E-6</v>
      </c>
      <c r="I162" s="555">
        <v>106</v>
      </c>
      <c r="J162" s="555">
        <v>8</v>
      </c>
      <c r="K162" s="555">
        <v>6.6E-3</v>
      </c>
      <c r="L162" s="555">
        <v>0.27</v>
      </c>
      <c r="M162" s="551">
        <v>1</v>
      </c>
      <c r="N162" s="552" t="s">
        <v>537</v>
      </c>
      <c r="O162" s="553" t="s">
        <v>537</v>
      </c>
      <c r="P162" s="553" t="s">
        <v>537</v>
      </c>
      <c r="Q162" s="553">
        <v>2</v>
      </c>
      <c r="R162" s="554">
        <v>0.1</v>
      </c>
      <c r="X162" s="438"/>
    </row>
    <row r="163" spans="1:24" ht="11.25" customHeight="1" thickBot="1" x14ac:dyDescent="0.25">
      <c r="A163" s="67" t="s">
        <v>464</v>
      </c>
      <c r="B163" s="565" t="s">
        <v>298</v>
      </c>
      <c r="C163" s="165" t="s">
        <v>283</v>
      </c>
      <c r="D163" s="566">
        <v>67</v>
      </c>
      <c r="E163" s="38">
        <v>67.41</v>
      </c>
      <c r="F163" s="567" t="s">
        <v>537</v>
      </c>
      <c r="G163" s="567" t="s">
        <v>537</v>
      </c>
      <c r="H163" s="567" t="s">
        <v>537</v>
      </c>
      <c r="I163" s="567" t="s">
        <v>537</v>
      </c>
      <c r="J163" s="567" t="s">
        <v>537</v>
      </c>
      <c r="K163" s="567" t="s">
        <v>537</v>
      </c>
      <c r="L163" s="567" t="s">
        <v>537</v>
      </c>
      <c r="M163" s="568">
        <v>1</v>
      </c>
      <c r="N163" s="569" t="s">
        <v>537</v>
      </c>
      <c r="O163" s="570" t="s">
        <v>537</v>
      </c>
      <c r="P163" s="570" t="s">
        <v>537</v>
      </c>
      <c r="Q163" s="570">
        <v>0.3</v>
      </c>
      <c r="R163" s="571" t="s">
        <v>537</v>
      </c>
      <c r="X163" s="438"/>
    </row>
    <row r="164" spans="1:24" s="120" customFormat="1" ht="11.25" customHeight="1" thickTop="1" x14ac:dyDescent="0.2">
      <c r="A164" s="425" t="s">
        <v>540</v>
      </c>
      <c r="B164" s="426"/>
      <c r="C164" s="426"/>
      <c r="D164" s="427"/>
      <c r="E164" s="427"/>
      <c r="F164" s="428"/>
      <c r="G164" s="428"/>
      <c r="H164" s="428"/>
      <c r="I164" s="428"/>
      <c r="J164" s="428"/>
      <c r="K164" s="428"/>
      <c r="L164" s="428"/>
      <c r="M164" s="428"/>
      <c r="N164" s="439"/>
      <c r="O164" s="439"/>
      <c r="P164" s="440"/>
      <c r="Q164" s="440"/>
      <c r="R164" s="441"/>
    </row>
    <row r="165" spans="1:24" s="120" customFormat="1" ht="11.25" customHeight="1" x14ac:dyDescent="0.2">
      <c r="A165" s="42" t="s">
        <v>553</v>
      </c>
      <c r="B165" s="65"/>
      <c r="C165" s="65"/>
      <c r="D165" s="157"/>
      <c r="E165" s="157"/>
      <c r="F165" s="158"/>
      <c r="G165" s="158"/>
      <c r="H165" s="152"/>
      <c r="I165" s="158"/>
      <c r="J165" s="140"/>
      <c r="K165" s="158"/>
      <c r="L165" s="158"/>
      <c r="M165" s="158"/>
      <c r="N165" s="158"/>
      <c r="O165" s="158"/>
      <c r="P165" s="158"/>
      <c r="Q165" s="158"/>
      <c r="R165" s="442"/>
    </row>
    <row r="166" spans="1:24" s="120" customFormat="1" ht="11.25" customHeight="1" x14ac:dyDescent="0.2">
      <c r="A166" s="43" t="s">
        <v>551</v>
      </c>
      <c r="B166" s="65"/>
      <c r="C166" s="65"/>
      <c r="D166" s="157"/>
      <c r="E166" s="157"/>
      <c r="F166" s="158"/>
      <c r="G166" s="158"/>
      <c r="H166" s="158"/>
      <c r="I166" s="158"/>
      <c r="J166" s="158"/>
      <c r="K166" s="158"/>
      <c r="L166" s="158"/>
      <c r="M166" s="158"/>
      <c r="N166" s="158"/>
      <c r="O166" s="158"/>
      <c r="P166" s="158"/>
      <c r="Q166" s="158"/>
      <c r="R166" s="442"/>
    </row>
    <row r="167" spans="1:24" s="120" customFormat="1" ht="25.5" customHeight="1" x14ac:dyDescent="0.2">
      <c r="A167" s="501" t="s">
        <v>554</v>
      </c>
      <c r="B167" s="572"/>
      <c r="C167" s="572"/>
      <c r="D167" s="572"/>
      <c r="E167" s="572"/>
      <c r="F167" s="572"/>
      <c r="G167" s="572"/>
      <c r="H167" s="572"/>
      <c r="I167" s="572"/>
      <c r="J167" s="572"/>
      <c r="K167" s="572"/>
      <c r="L167" s="572"/>
      <c r="M167" s="572"/>
      <c r="N167" s="572"/>
      <c r="O167" s="572"/>
      <c r="P167" s="572"/>
      <c r="Q167" s="572"/>
      <c r="R167" s="573"/>
    </row>
    <row r="168" spans="1:24" s="120" customFormat="1" ht="36.75" customHeight="1" x14ac:dyDescent="0.2">
      <c r="A168" s="574" t="s">
        <v>555</v>
      </c>
      <c r="B168" s="575"/>
      <c r="C168" s="575"/>
      <c r="D168" s="575"/>
      <c r="E168" s="575"/>
      <c r="F168" s="575"/>
      <c r="G168" s="575"/>
      <c r="H168" s="575"/>
      <c r="I168" s="575"/>
      <c r="J168" s="575"/>
      <c r="K168" s="575"/>
      <c r="L168" s="575"/>
      <c r="M168" s="575"/>
      <c r="N168" s="575"/>
      <c r="O168" s="575"/>
      <c r="P168" s="575"/>
      <c r="Q168" s="575"/>
      <c r="R168" s="576"/>
    </row>
    <row r="169" spans="1:24" s="120" customFormat="1" ht="11.25" customHeight="1" x14ac:dyDescent="0.2">
      <c r="A169" s="68"/>
      <c r="B169" s="147"/>
      <c r="C169" s="147"/>
      <c r="D169" s="147"/>
      <c r="E169" s="147"/>
      <c r="F169" s="147"/>
      <c r="G169" s="147"/>
      <c r="H169" s="147"/>
      <c r="I169" s="147"/>
      <c r="J169" s="147"/>
      <c r="K169" s="147"/>
      <c r="L169" s="147"/>
      <c r="M169" s="147"/>
      <c r="N169" s="147"/>
      <c r="O169" s="147"/>
      <c r="P169" s="147"/>
      <c r="Q169" s="147"/>
      <c r="R169" s="443"/>
    </row>
    <row r="170" spans="1:24" s="120" customFormat="1" ht="11.25" customHeight="1" x14ac:dyDescent="0.2">
      <c r="A170" s="444" t="s">
        <v>174</v>
      </c>
      <c r="B170" s="144"/>
      <c r="C170" s="144"/>
      <c r="D170" s="144"/>
      <c r="E170" s="144"/>
      <c r="F170" s="144"/>
      <c r="G170" s="144"/>
      <c r="H170" s="144"/>
      <c r="I170" s="144"/>
      <c r="J170" s="144"/>
      <c r="K170" s="144"/>
      <c r="L170" s="144"/>
      <c r="M170" s="144"/>
      <c r="N170" s="144"/>
      <c r="O170" s="144"/>
      <c r="P170" s="144"/>
      <c r="Q170" s="144"/>
      <c r="R170" s="436"/>
    </row>
    <row r="171" spans="1:24" s="120" customFormat="1" ht="12.75" x14ac:dyDescent="0.2">
      <c r="A171" s="142" t="s">
        <v>556</v>
      </c>
      <c r="B171" s="126"/>
      <c r="C171" s="126"/>
      <c r="D171" s="153"/>
      <c r="E171" s="154"/>
      <c r="F171" s="126"/>
      <c r="G171" s="126"/>
      <c r="H171" s="126"/>
      <c r="I171" s="126"/>
      <c r="J171" s="144"/>
      <c r="K171" s="126"/>
      <c r="L171" s="126"/>
      <c r="M171" s="126"/>
      <c r="N171" s="445"/>
      <c r="O171" s="445"/>
      <c r="P171" s="446"/>
      <c r="Q171" s="446"/>
      <c r="R171" s="447"/>
    </row>
    <row r="172" spans="1:24" s="120" customFormat="1" ht="12.75" x14ac:dyDescent="0.2">
      <c r="A172" s="142" t="s">
        <v>557</v>
      </c>
      <c r="B172" s="126"/>
      <c r="C172" s="126"/>
      <c r="D172" s="153"/>
      <c r="E172" s="154"/>
      <c r="F172" s="126"/>
      <c r="G172" s="126"/>
      <c r="H172" s="126"/>
      <c r="I172" s="126"/>
      <c r="J172" s="126"/>
      <c r="K172" s="126"/>
      <c r="L172" s="126"/>
      <c r="M172" s="126"/>
      <c r="N172" s="445"/>
      <c r="O172" s="445"/>
      <c r="P172" s="446"/>
      <c r="Q172" s="446"/>
      <c r="R172" s="447"/>
    </row>
    <row r="173" spans="1:24" s="120" customFormat="1" ht="12.75" x14ac:dyDescent="0.2">
      <c r="A173" s="139" t="s">
        <v>558</v>
      </c>
      <c r="B173" s="126"/>
      <c r="C173" s="126"/>
      <c r="D173" s="153"/>
      <c r="E173" s="154"/>
      <c r="F173" s="126"/>
      <c r="G173" s="126"/>
      <c r="H173" s="126"/>
      <c r="I173" s="126"/>
      <c r="J173" s="126"/>
      <c r="K173" s="126"/>
      <c r="L173" s="126"/>
      <c r="M173" s="126"/>
      <c r="N173" s="445"/>
      <c r="O173" s="445"/>
      <c r="P173" s="446"/>
      <c r="Q173" s="446"/>
      <c r="R173" s="447"/>
    </row>
    <row r="174" spans="1:24" s="120" customFormat="1" ht="11.25" customHeight="1" x14ac:dyDescent="0.2">
      <c r="A174" s="43" t="s">
        <v>541</v>
      </c>
      <c r="B174" s="65"/>
      <c r="C174" s="65"/>
      <c r="D174" s="24"/>
      <c r="E174" s="24"/>
      <c r="F174" s="140"/>
      <c r="G174" s="140"/>
      <c r="H174" s="140"/>
      <c r="I174" s="140"/>
      <c r="J174" s="140"/>
      <c r="K174" s="140"/>
      <c r="L174" s="140"/>
      <c r="M174" s="140"/>
      <c r="N174" s="448"/>
      <c r="O174" s="448"/>
      <c r="P174" s="141"/>
      <c r="Q174" s="141"/>
      <c r="R174" s="449"/>
    </row>
    <row r="175" spans="1:24" s="120" customFormat="1" ht="12.75" x14ac:dyDescent="0.2">
      <c r="A175" s="142" t="s">
        <v>559</v>
      </c>
      <c r="B175" s="126"/>
      <c r="C175" s="126"/>
      <c r="D175" s="153"/>
      <c r="E175" s="154"/>
      <c r="F175" s="126"/>
      <c r="G175" s="126"/>
      <c r="H175" s="126"/>
      <c r="I175" s="126"/>
      <c r="J175" s="126"/>
      <c r="K175" s="126"/>
      <c r="L175" s="126"/>
      <c r="M175" s="126"/>
      <c r="N175" s="445"/>
      <c r="O175" s="445"/>
      <c r="P175" s="446"/>
      <c r="Q175" s="446"/>
      <c r="R175" s="447"/>
    </row>
    <row r="176" spans="1:24" s="120" customFormat="1" ht="12.75" x14ac:dyDescent="0.2">
      <c r="A176" s="142" t="s">
        <v>560</v>
      </c>
      <c r="B176" s="126"/>
      <c r="C176" s="126"/>
      <c r="D176" s="153"/>
      <c r="E176" s="154"/>
      <c r="F176" s="126"/>
      <c r="G176" s="126"/>
      <c r="H176" s="126"/>
      <c r="I176" s="126"/>
      <c r="J176" s="126"/>
      <c r="K176" s="126"/>
      <c r="L176" s="126"/>
      <c r="M176" s="126"/>
      <c r="N176" s="445"/>
      <c r="O176" s="445"/>
      <c r="P176" s="446"/>
      <c r="Q176" s="446"/>
      <c r="R176" s="447"/>
    </row>
    <row r="177" spans="1:18" s="120" customFormat="1" ht="12.75" x14ac:dyDescent="0.2">
      <c r="A177" s="142" t="s">
        <v>561</v>
      </c>
      <c r="B177" s="126"/>
      <c r="C177" s="126"/>
      <c r="D177" s="153"/>
      <c r="E177" s="154"/>
      <c r="F177" s="126"/>
      <c r="G177" s="126"/>
      <c r="H177" s="126"/>
      <c r="I177" s="126"/>
      <c r="J177" s="126"/>
      <c r="K177" s="126"/>
      <c r="L177" s="126"/>
      <c r="M177" s="126"/>
      <c r="N177" s="445"/>
      <c r="O177" s="445"/>
      <c r="P177" s="446"/>
      <c r="Q177" s="446"/>
      <c r="R177" s="447"/>
    </row>
    <row r="178" spans="1:18" s="120" customFormat="1" ht="12.75" x14ac:dyDescent="0.2">
      <c r="A178" s="142" t="s">
        <v>341</v>
      </c>
      <c r="B178" s="126"/>
      <c r="C178" s="126"/>
      <c r="D178" s="153"/>
      <c r="E178" s="154"/>
      <c r="F178" s="126"/>
      <c r="G178" s="126"/>
      <c r="H178" s="126"/>
      <c r="I178" s="126"/>
      <c r="J178" s="126"/>
      <c r="K178" s="126"/>
      <c r="L178" s="126"/>
      <c r="M178" s="126"/>
      <c r="N178" s="445"/>
      <c r="O178" s="445"/>
      <c r="P178" s="446"/>
      <c r="Q178" s="446"/>
      <c r="R178" s="447"/>
    </row>
    <row r="179" spans="1:18" s="120" customFormat="1" ht="12.75" x14ac:dyDescent="0.2">
      <c r="A179" s="142" t="s">
        <v>562</v>
      </c>
      <c r="B179" s="126"/>
      <c r="C179" s="126"/>
      <c r="D179" s="153"/>
      <c r="E179" s="154"/>
      <c r="F179" s="126"/>
      <c r="G179" s="126"/>
      <c r="H179" s="126"/>
      <c r="I179" s="126"/>
      <c r="J179" s="126"/>
      <c r="K179" s="126"/>
      <c r="L179" s="126"/>
      <c r="M179" s="126"/>
      <c r="N179" s="445"/>
      <c r="O179" s="445"/>
      <c r="P179" s="446"/>
      <c r="Q179" s="446"/>
      <c r="R179" s="447"/>
    </row>
    <row r="180" spans="1:18" s="120" customFormat="1" ht="12.75" x14ac:dyDescent="0.2">
      <c r="A180" s="142" t="s">
        <v>86</v>
      </c>
      <c r="B180" s="126"/>
      <c r="C180" s="126"/>
      <c r="D180" s="153"/>
      <c r="E180" s="154"/>
      <c r="F180" s="126"/>
      <c r="G180" s="126"/>
      <c r="H180" s="126"/>
      <c r="I180" s="126"/>
      <c r="J180" s="147"/>
      <c r="K180" s="126"/>
      <c r="L180" s="126"/>
      <c r="M180" s="126"/>
      <c r="N180" s="445"/>
      <c r="O180" s="445"/>
      <c r="P180" s="446"/>
      <c r="Q180" s="446"/>
      <c r="R180" s="447"/>
    </row>
    <row r="181" spans="1:18" s="120" customFormat="1" ht="11.25" customHeight="1" x14ac:dyDescent="0.2">
      <c r="A181" s="145" t="s">
        <v>563</v>
      </c>
      <c r="B181" s="138"/>
      <c r="C181" s="138"/>
      <c r="D181" s="146"/>
      <c r="E181" s="146"/>
      <c r="F181" s="147"/>
      <c r="G181" s="147"/>
      <c r="H181" s="147"/>
      <c r="I181" s="147"/>
      <c r="J181" s="147"/>
      <c r="K181" s="147"/>
      <c r="L181" s="147"/>
      <c r="M181" s="147"/>
      <c r="N181" s="450"/>
      <c r="O181" s="450"/>
      <c r="P181" s="148"/>
      <c r="Q181" s="148"/>
      <c r="R181" s="451"/>
    </row>
    <row r="182" spans="1:18" s="120" customFormat="1" ht="11.25" customHeight="1" x14ac:dyDescent="0.2">
      <c r="A182" s="145" t="s">
        <v>552</v>
      </c>
      <c r="B182" s="138"/>
      <c r="C182" s="138"/>
      <c r="D182" s="146"/>
      <c r="E182" s="146"/>
      <c r="F182" s="147"/>
      <c r="G182" s="147"/>
      <c r="H182" s="147"/>
      <c r="I182" s="147"/>
      <c r="J182" s="147"/>
      <c r="K182" s="147"/>
      <c r="L182" s="147"/>
      <c r="M182" s="147"/>
      <c r="N182" s="450"/>
      <c r="O182" s="450"/>
      <c r="P182" s="148"/>
      <c r="Q182" s="148"/>
      <c r="R182" s="451"/>
    </row>
    <row r="183" spans="1:18" s="120" customFormat="1" ht="23.25" customHeight="1" x14ac:dyDescent="0.2">
      <c r="A183" s="503" t="s">
        <v>578</v>
      </c>
      <c r="B183" s="577"/>
      <c r="C183" s="577"/>
      <c r="D183" s="577"/>
      <c r="E183" s="577"/>
      <c r="F183" s="577"/>
      <c r="G183" s="577"/>
      <c r="H183" s="577"/>
      <c r="I183" s="577"/>
      <c r="J183" s="577"/>
      <c r="K183" s="577"/>
      <c r="L183" s="577"/>
      <c r="M183" s="577"/>
      <c r="N183" s="577"/>
      <c r="O183" s="577"/>
      <c r="P183" s="577"/>
      <c r="Q183" s="577"/>
      <c r="R183" s="578"/>
    </row>
    <row r="184" spans="1:18" s="120" customFormat="1" ht="11.25" customHeight="1" x14ac:dyDescent="0.2">
      <c r="A184" s="68" t="s">
        <v>564</v>
      </c>
      <c r="B184" s="149"/>
      <c r="C184" s="150"/>
      <c r="D184" s="146"/>
      <c r="E184" s="146"/>
      <c r="F184" s="147"/>
      <c r="G184" s="147"/>
      <c r="H184" s="147"/>
      <c r="I184" s="147"/>
      <c r="J184" s="147"/>
      <c r="K184" s="147"/>
      <c r="L184" s="147"/>
      <c r="M184" s="147"/>
      <c r="N184" s="450"/>
      <c r="O184" s="450"/>
      <c r="P184" s="148"/>
      <c r="Q184" s="148"/>
      <c r="R184" s="451"/>
    </row>
    <row r="185" spans="1:18" ht="11.25" customHeight="1" x14ac:dyDescent="0.2">
      <c r="A185" s="139" t="s">
        <v>579</v>
      </c>
      <c r="B185" s="452"/>
      <c r="C185" s="452"/>
      <c r="D185" s="453"/>
      <c r="E185" s="454"/>
      <c r="F185" s="452"/>
      <c r="G185" s="452"/>
      <c r="H185" s="452"/>
      <c r="I185" s="452"/>
      <c r="J185" s="151"/>
      <c r="K185" s="452"/>
      <c r="L185" s="452"/>
      <c r="M185" s="452"/>
      <c r="N185" s="455"/>
      <c r="O185" s="455"/>
      <c r="P185" s="456"/>
      <c r="Q185" s="456"/>
      <c r="R185" s="457"/>
    </row>
    <row r="186" spans="1:18" s="120" customFormat="1" ht="11.25" customHeight="1" x14ac:dyDescent="0.2">
      <c r="A186" s="145" t="s">
        <v>181</v>
      </c>
      <c r="B186" s="138"/>
      <c r="C186" s="138"/>
      <c r="D186" s="146"/>
      <c r="E186" s="146"/>
      <c r="F186" s="147"/>
      <c r="G186" s="147"/>
      <c r="H186" s="147"/>
      <c r="I186" s="147"/>
      <c r="J186" s="138"/>
      <c r="K186" s="147"/>
      <c r="L186" s="147"/>
      <c r="M186" s="147"/>
      <c r="N186" s="450"/>
      <c r="O186" s="450"/>
      <c r="P186" s="148"/>
      <c r="Q186" s="148"/>
      <c r="R186" s="451"/>
    </row>
    <row r="187" spans="1:18" s="120" customFormat="1" ht="12.75" x14ac:dyDescent="0.2">
      <c r="A187" s="145" t="s">
        <v>421</v>
      </c>
      <c r="B187" s="138"/>
      <c r="C187" s="138"/>
      <c r="D187" s="155"/>
      <c r="E187" s="156"/>
      <c r="F187" s="138"/>
      <c r="G187" s="138"/>
      <c r="H187" s="138"/>
      <c r="I187" s="138"/>
      <c r="J187" s="452"/>
      <c r="K187" s="138"/>
      <c r="L187" s="138"/>
      <c r="M187" s="138"/>
      <c r="N187" s="458"/>
      <c r="O187" s="458"/>
      <c r="P187" s="437"/>
      <c r="Q187" s="437"/>
      <c r="R187" s="459"/>
    </row>
    <row r="188" spans="1:18" s="120" customFormat="1" ht="13.5" thickBot="1" x14ac:dyDescent="0.25">
      <c r="A188" s="579" t="s">
        <v>422</v>
      </c>
      <c r="B188" s="580"/>
      <c r="C188" s="580"/>
      <c r="D188" s="581"/>
      <c r="E188" s="582"/>
      <c r="F188" s="580"/>
      <c r="G188" s="580"/>
      <c r="H188" s="580"/>
      <c r="I188" s="580"/>
      <c r="J188" s="583"/>
      <c r="K188" s="580"/>
      <c r="L188" s="580"/>
      <c r="M188" s="580"/>
      <c r="N188" s="584"/>
      <c r="O188" s="584"/>
      <c r="P188" s="585"/>
      <c r="Q188" s="585"/>
      <c r="R188" s="586"/>
    </row>
    <row r="189" spans="1:18" ht="12" thickTop="1" x14ac:dyDescent="0.2"/>
    <row r="203" spans="4:18" s="120" customFormat="1" ht="12.75" x14ac:dyDescent="0.2">
      <c r="D203" s="590"/>
      <c r="E203" s="591"/>
      <c r="N203" s="592"/>
      <c r="O203" s="592"/>
      <c r="P203" s="593"/>
      <c r="Q203" s="593"/>
      <c r="R203" s="593"/>
    </row>
    <row r="204" spans="4:18" s="120" customFormat="1" ht="12.75" x14ac:dyDescent="0.2">
      <c r="D204" s="590"/>
      <c r="E204" s="591"/>
      <c r="N204" s="592"/>
      <c r="O204" s="592"/>
      <c r="P204" s="593"/>
      <c r="Q204" s="593"/>
      <c r="R204" s="593"/>
    </row>
    <row r="205" spans="4:18" s="120" customFormat="1" ht="12.75" x14ac:dyDescent="0.2">
      <c r="D205" s="590"/>
      <c r="E205" s="591"/>
      <c r="N205" s="592"/>
      <c r="O205" s="592"/>
      <c r="P205" s="593"/>
      <c r="Q205" s="593"/>
      <c r="R205" s="593"/>
    </row>
    <row r="206" spans="4:18" s="120" customFormat="1" ht="12.75" x14ac:dyDescent="0.2">
      <c r="D206" s="590"/>
      <c r="E206" s="591"/>
      <c r="N206" s="592"/>
      <c r="O206" s="592"/>
      <c r="P206" s="593"/>
      <c r="Q206" s="593"/>
      <c r="R206" s="593"/>
    </row>
    <row r="207" spans="4:18" s="120" customFormat="1" ht="12.75" x14ac:dyDescent="0.2">
      <c r="D207" s="590"/>
      <c r="E207" s="591"/>
      <c r="N207" s="592"/>
      <c r="O207" s="592"/>
      <c r="P207" s="593"/>
      <c r="Q207" s="593"/>
      <c r="R207" s="593"/>
    </row>
    <row r="208" spans="4:18" s="120" customFormat="1" ht="12.75" x14ac:dyDescent="0.2">
      <c r="D208" s="590"/>
      <c r="E208" s="591"/>
      <c r="N208" s="592"/>
      <c r="O208" s="592"/>
      <c r="P208" s="593"/>
      <c r="Q208" s="593"/>
      <c r="R208" s="593"/>
    </row>
    <row r="209" spans="4:18" s="120" customFormat="1" ht="12.75" x14ac:dyDescent="0.2">
      <c r="D209" s="590"/>
      <c r="E209" s="591"/>
      <c r="N209" s="592"/>
      <c r="O209" s="592"/>
      <c r="P209" s="593"/>
      <c r="Q209" s="593"/>
      <c r="R209" s="593"/>
    </row>
    <row r="210" spans="4:18" s="120" customFormat="1" ht="12.75" x14ac:dyDescent="0.2">
      <c r="D210" s="590"/>
      <c r="E210" s="591"/>
      <c r="N210" s="592"/>
      <c r="O210" s="592"/>
      <c r="P210" s="593"/>
      <c r="Q210" s="593"/>
      <c r="R210" s="593"/>
    </row>
    <row r="211" spans="4:18" s="120" customFormat="1" ht="12.75" x14ac:dyDescent="0.2">
      <c r="D211" s="590"/>
      <c r="E211" s="591"/>
      <c r="N211" s="592"/>
      <c r="O211" s="592"/>
      <c r="P211" s="593"/>
      <c r="Q211" s="593"/>
      <c r="R211" s="593"/>
    </row>
    <row r="212" spans="4:18" s="120" customFormat="1" ht="12.75" x14ac:dyDescent="0.2">
      <c r="D212" s="590"/>
      <c r="E212" s="591"/>
      <c r="N212" s="592"/>
      <c r="O212" s="592"/>
      <c r="P212" s="593"/>
      <c r="Q212" s="593"/>
      <c r="R212" s="593"/>
    </row>
    <row r="213" spans="4:18" s="120" customFormat="1" ht="12.75" x14ac:dyDescent="0.2">
      <c r="D213" s="590"/>
      <c r="E213" s="591"/>
      <c r="N213" s="592"/>
      <c r="O213" s="592"/>
      <c r="P213" s="593"/>
      <c r="Q213" s="593"/>
      <c r="R213" s="593"/>
    </row>
    <row r="214" spans="4:18" s="120" customFormat="1" ht="12.75" x14ac:dyDescent="0.2">
      <c r="D214" s="590"/>
      <c r="E214" s="591"/>
      <c r="N214" s="592"/>
      <c r="O214" s="592"/>
      <c r="P214" s="593"/>
      <c r="Q214" s="593"/>
      <c r="R214" s="593"/>
    </row>
    <row r="215" spans="4:18" s="120" customFormat="1" ht="12.75" x14ac:dyDescent="0.2">
      <c r="D215" s="590"/>
      <c r="E215" s="591"/>
      <c r="N215" s="592"/>
      <c r="O215" s="592"/>
      <c r="P215" s="593"/>
      <c r="Q215" s="593"/>
      <c r="R215" s="593"/>
    </row>
    <row r="216" spans="4:18" s="120" customFormat="1" ht="12.75" x14ac:dyDescent="0.2">
      <c r="D216" s="590"/>
      <c r="E216" s="591"/>
      <c r="N216" s="592"/>
      <c r="O216" s="592"/>
      <c r="P216" s="593"/>
      <c r="Q216" s="593"/>
      <c r="R216" s="593"/>
    </row>
    <row r="217" spans="4:18" s="120" customFormat="1" ht="12.75" x14ac:dyDescent="0.2">
      <c r="D217" s="590"/>
      <c r="E217" s="591"/>
      <c r="N217" s="592"/>
      <c r="O217" s="592"/>
      <c r="P217" s="593"/>
      <c r="Q217" s="593"/>
      <c r="R217" s="593"/>
    </row>
    <row r="218" spans="4:18" s="120" customFormat="1" ht="12.75" x14ac:dyDescent="0.2">
      <c r="D218" s="590"/>
      <c r="E218" s="591"/>
      <c r="N218" s="592"/>
      <c r="O218" s="592"/>
      <c r="P218" s="593"/>
      <c r="Q218" s="593"/>
      <c r="R218" s="593"/>
    </row>
    <row r="219" spans="4:18" s="120" customFormat="1" ht="12.75" x14ac:dyDescent="0.2">
      <c r="D219" s="590"/>
      <c r="E219" s="591"/>
      <c r="N219" s="592"/>
      <c r="O219" s="592"/>
      <c r="P219" s="593"/>
      <c r="Q219" s="593"/>
      <c r="R219" s="593"/>
    </row>
    <row r="220" spans="4:18" s="120" customFormat="1" ht="12.75" x14ac:dyDescent="0.2">
      <c r="D220" s="590"/>
      <c r="E220" s="591"/>
      <c r="N220" s="592"/>
      <c r="O220" s="592"/>
      <c r="P220" s="593"/>
      <c r="Q220" s="593"/>
      <c r="R220" s="593"/>
    </row>
    <row r="221" spans="4:18" s="120" customFormat="1" ht="12.75" x14ac:dyDescent="0.2">
      <c r="D221" s="590"/>
      <c r="E221" s="591"/>
      <c r="N221" s="592"/>
      <c r="O221" s="592"/>
      <c r="P221" s="593"/>
      <c r="Q221" s="593"/>
      <c r="R221" s="593"/>
    </row>
    <row r="222" spans="4:18" s="120" customFormat="1" ht="12.75" x14ac:dyDescent="0.2">
      <c r="D222" s="590"/>
      <c r="E222" s="591"/>
      <c r="N222" s="592"/>
      <c r="O222" s="592"/>
      <c r="P222" s="593"/>
      <c r="Q222" s="593"/>
      <c r="R222" s="593"/>
    </row>
    <row r="223" spans="4:18" s="120" customFormat="1" ht="12.75" x14ac:dyDescent="0.2">
      <c r="D223" s="590"/>
      <c r="E223" s="591"/>
      <c r="N223" s="592"/>
      <c r="O223" s="592"/>
      <c r="P223" s="593"/>
      <c r="Q223" s="593"/>
      <c r="R223" s="593"/>
    </row>
    <row r="224" spans="4:18" s="120" customFormat="1" ht="12.75" x14ac:dyDescent="0.2">
      <c r="D224" s="590"/>
      <c r="E224" s="591"/>
      <c r="N224" s="592"/>
      <c r="O224" s="592"/>
      <c r="P224" s="593"/>
      <c r="Q224" s="593"/>
      <c r="R224" s="593"/>
    </row>
    <row r="225" spans="4:18" s="120" customFormat="1" ht="12.75" x14ac:dyDescent="0.2">
      <c r="D225" s="590"/>
      <c r="E225" s="591"/>
      <c r="N225" s="592"/>
      <c r="O225" s="592"/>
      <c r="P225" s="593"/>
      <c r="Q225" s="593"/>
      <c r="R225" s="593"/>
    </row>
    <row r="226" spans="4:18" s="120" customFormat="1" ht="12.75" x14ac:dyDescent="0.2">
      <c r="D226" s="590"/>
      <c r="E226" s="591"/>
      <c r="N226" s="592"/>
      <c r="O226" s="592"/>
      <c r="P226" s="593"/>
      <c r="Q226" s="593"/>
      <c r="R226" s="593"/>
    </row>
    <row r="227" spans="4:18" s="120" customFormat="1" ht="12.75" x14ac:dyDescent="0.2">
      <c r="D227" s="590"/>
      <c r="E227" s="591"/>
      <c r="N227" s="592"/>
      <c r="O227" s="592"/>
      <c r="P227" s="593"/>
      <c r="Q227" s="593"/>
      <c r="R227" s="593"/>
    </row>
    <row r="228" spans="4:18" s="120" customFormat="1" ht="12.75" x14ac:dyDescent="0.2">
      <c r="D228" s="590"/>
      <c r="E228" s="591"/>
      <c r="N228" s="592"/>
      <c r="O228" s="592"/>
      <c r="P228" s="593"/>
      <c r="Q228" s="593"/>
      <c r="R228" s="593"/>
    </row>
    <row r="229" spans="4:18" s="120" customFormat="1" ht="12.75" x14ac:dyDescent="0.2">
      <c r="D229" s="590"/>
      <c r="E229" s="591"/>
      <c r="N229" s="592"/>
      <c r="O229" s="592"/>
      <c r="P229" s="593"/>
      <c r="Q229" s="593"/>
      <c r="R229" s="593"/>
    </row>
    <row r="230" spans="4:18" s="120" customFormat="1" ht="12.75" x14ac:dyDescent="0.2">
      <c r="D230" s="590"/>
      <c r="E230" s="591"/>
      <c r="N230" s="592"/>
      <c r="O230" s="592"/>
      <c r="P230" s="593"/>
      <c r="Q230" s="593"/>
      <c r="R230" s="593"/>
    </row>
    <row r="231" spans="4:18" s="120" customFormat="1" ht="12.75" x14ac:dyDescent="0.2">
      <c r="D231" s="590"/>
      <c r="E231" s="591"/>
      <c r="N231" s="592"/>
      <c r="O231" s="592"/>
      <c r="P231" s="593"/>
      <c r="Q231" s="593"/>
      <c r="R231" s="593"/>
    </row>
    <row r="232" spans="4:18" s="120" customFormat="1" ht="12.75" x14ac:dyDescent="0.2">
      <c r="D232" s="590"/>
      <c r="E232" s="591"/>
      <c r="N232" s="592"/>
      <c r="O232" s="592"/>
      <c r="P232" s="593"/>
      <c r="Q232" s="593"/>
      <c r="R232" s="593"/>
    </row>
    <row r="233" spans="4:18" s="120" customFormat="1" ht="12.75" x14ac:dyDescent="0.2">
      <c r="D233" s="590"/>
      <c r="E233" s="591"/>
      <c r="N233" s="592"/>
      <c r="O233" s="592"/>
      <c r="P233" s="593"/>
      <c r="Q233" s="593"/>
      <c r="R233" s="593"/>
    </row>
    <row r="234" spans="4:18" s="120" customFormat="1" ht="12.75" x14ac:dyDescent="0.2">
      <c r="D234" s="590"/>
      <c r="E234" s="591"/>
      <c r="N234" s="592"/>
      <c r="O234" s="592"/>
      <c r="P234" s="593"/>
      <c r="Q234" s="593"/>
      <c r="R234" s="593"/>
    </row>
    <row r="235" spans="4:18" s="120" customFormat="1" ht="12.75" x14ac:dyDescent="0.2">
      <c r="D235" s="590"/>
      <c r="E235" s="591"/>
      <c r="N235" s="592"/>
      <c r="O235" s="592"/>
      <c r="P235" s="593"/>
      <c r="Q235" s="593"/>
      <c r="R235" s="593"/>
    </row>
    <row r="236" spans="4:18" s="120" customFormat="1" ht="12.75" x14ac:dyDescent="0.2">
      <c r="D236" s="590"/>
      <c r="E236" s="591"/>
      <c r="N236" s="592"/>
      <c r="O236" s="592"/>
      <c r="P236" s="593"/>
      <c r="Q236" s="593"/>
      <c r="R236" s="593"/>
    </row>
    <row r="237" spans="4:18" s="120" customFormat="1" ht="12.75" x14ac:dyDescent="0.2">
      <c r="D237" s="590"/>
      <c r="E237" s="591"/>
      <c r="N237" s="592"/>
      <c r="O237" s="592"/>
      <c r="P237" s="593"/>
      <c r="Q237" s="593"/>
      <c r="R237" s="593"/>
    </row>
    <row r="238" spans="4:18" s="120" customFormat="1" ht="12.75" x14ac:dyDescent="0.2">
      <c r="D238" s="590"/>
      <c r="E238" s="591"/>
      <c r="N238" s="592"/>
      <c r="O238" s="592"/>
      <c r="P238" s="593"/>
      <c r="Q238" s="593"/>
      <c r="R238" s="593"/>
    </row>
    <row r="239" spans="4:18" s="120" customFormat="1" ht="12.75" x14ac:dyDescent="0.2">
      <c r="D239" s="590"/>
      <c r="E239" s="591"/>
      <c r="N239" s="592"/>
      <c r="O239" s="592"/>
      <c r="P239" s="593"/>
      <c r="Q239" s="593"/>
      <c r="R239" s="593"/>
    </row>
    <row r="240" spans="4:18" s="120" customFormat="1" ht="12.75" x14ac:dyDescent="0.2">
      <c r="D240" s="590"/>
      <c r="E240" s="591"/>
      <c r="N240" s="592"/>
      <c r="O240" s="592"/>
      <c r="P240" s="593"/>
      <c r="Q240" s="593"/>
      <c r="R240" s="593"/>
    </row>
    <row r="241" spans="4:18" s="120" customFormat="1" ht="12.75" x14ac:dyDescent="0.2">
      <c r="D241" s="590"/>
      <c r="E241" s="591"/>
      <c r="N241" s="592"/>
      <c r="O241" s="592"/>
      <c r="P241" s="593"/>
      <c r="Q241" s="593"/>
      <c r="R241" s="593"/>
    </row>
    <row r="242" spans="4:18" s="120" customFormat="1" ht="12.75" x14ac:dyDescent="0.2">
      <c r="D242" s="590"/>
      <c r="E242" s="591"/>
      <c r="N242" s="592"/>
      <c r="O242" s="592"/>
      <c r="P242" s="593"/>
      <c r="Q242" s="593"/>
      <c r="R242" s="593"/>
    </row>
    <row r="243" spans="4:18" s="120" customFormat="1" ht="12.75" x14ac:dyDescent="0.2">
      <c r="D243" s="590"/>
      <c r="E243" s="591"/>
      <c r="N243" s="592"/>
      <c r="O243" s="592"/>
      <c r="P243" s="593"/>
      <c r="Q243" s="593"/>
      <c r="R243" s="593"/>
    </row>
    <row r="244" spans="4:18" s="120" customFormat="1" ht="12.75" x14ac:dyDescent="0.2">
      <c r="D244" s="590"/>
      <c r="E244" s="591"/>
      <c r="N244" s="592"/>
      <c r="O244" s="592"/>
      <c r="P244" s="593"/>
      <c r="Q244" s="593"/>
      <c r="R244" s="593"/>
    </row>
    <row r="245" spans="4:18" s="120" customFormat="1" ht="12.75" x14ac:dyDescent="0.2">
      <c r="D245" s="590"/>
      <c r="E245" s="591"/>
      <c r="N245" s="592"/>
      <c r="O245" s="592"/>
      <c r="P245" s="593"/>
      <c r="Q245" s="593"/>
      <c r="R245" s="593"/>
    </row>
    <row r="246" spans="4:18" s="120" customFormat="1" ht="12.75" x14ac:dyDescent="0.2">
      <c r="D246" s="590"/>
      <c r="E246" s="591"/>
      <c r="N246" s="592"/>
      <c r="O246" s="592"/>
      <c r="P246" s="593"/>
      <c r="Q246" s="593"/>
      <c r="R246" s="593"/>
    </row>
    <row r="247" spans="4:18" s="120" customFormat="1" ht="12.75" x14ac:dyDescent="0.2">
      <c r="D247" s="590"/>
      <c r="E247" s="591"/>
      <c r="N247" s="592"/>
      <c r="O247" s="592"/>
      <c r="P247" s="593"/>
      <c r="Q247" s="593"/>
      <c r="R247" s="593"/>
    </row>
    <row r="248" spans="4:18" s="120" customFormat="1" ht="12.75" x14ac:dyDescent="0.2">
      <c r="D248" s="590"/>
      <c r="E248" s="591"/>
      <c r="N248" s="592"/>
      <c r="O248" s="592"/>
      <c r="P248" s="593"/>
      <c r="Q248" s="593"/>
      <c r="R248" s="593"/>
    </row>
    <row r="249" spans="4:18" s="120" customFormat="1" ht="12.75" x14ac:dyDescent="0.2">
      <c r="D249" s="590"/>
      <c r="E249" s="591"/>
      <c r="N249" s="592"/>
      <c r="O249" s="592"/>
      <c r="P249" s="593"/>
      <c r="Q249" s="593"/>
      <c r="R249" s="593"/>
    </row>
    <row r="250" spans="4:18" s="120" customFormat="1" ht="12.75" x14ac:dyDescent="0.2">
      <c r="D250" s="590"/>
      <c r="E250" s="591"/>
      <c r="N250" s="592"/>
      <c r="O250" s="592"/>
      <c r="P250" s="593"/>
      <c r="Q250" s="593"/>
      <c r="R250" s="593"/>
    </row>
    <row r="251" spans="4:18" s="120" customFormat="1" ht="12.75" x14ac:dyDescent="0.2">
      <c r="D251" s="590"/>
      <c r="E251" s="591"/>
      <c r="N251" s="592"/>
      <c r="O251" s="592"/>
      <c r="P251" s="593"/>
      <c r="Q251" s="593"/>
      <c r="R251" s="593"/>
    </row>
    <row r="252" spans="4:18" s="120" customFormat="1" ht="12.75" x14ac:dyDescent="0.2">
      <c r="D252" s="590"/>
      <c r="E252" s="591"/>
      <c r="N252" s="592"/>
      <c r="O252" s="592"/>
      <c r="P252" s="593"/>
      <c r="Q252" s="593"/>
      <c r="R252" s="593"/>
    </row>
    <row r="253" spans="4:18" s="120" customFormat="1" ht="12.75" x14ac:dyDescent="0.2">
      <c r="D253" s="590"/>
      <c r="E253" s="591"/>
      <c r="N253" s="592"/>
      <c r="O253" s="592"/>
      <c r="P253" s="593"/>
      <c r="Q253" s="593"/>
      <c r="R253" s="593"/>
    </row>
    <row r="254" spans="4:18" s="120" customFormat="1" ht="12.75" x14ac:dyDescent="0.2">
      <c r="D254" s="590"/>
      <c r="E254" s="591"/>
      <c r="N254" s="592"/>
      <c r="O254" s="592"/>
      <c r="P254" s="593"/>
      <c r="Q254" s="593"/>
      <c r="R254" s="593"/>
    </row>
    <row r="255" spans="4:18" ht="12.75" x14ac:dyDescent="0.2">
      <c r="D255" s="590"/>
      <c r="E255" s="591"/>
      <c r="P255" s="594"/>
      <c r="Q255" s="594"/>
      <c r="R255" s="594"/>
    </row>
    <row r="256" spans="4:18" ht="12.75" x14ac:dyDescent="0.2">
      <c r="D256" s="590"/>
      <c r="E256" s="591"/>
      <c r="P256" s="594"/>
      <c r="Q256" s="594"/>
      <c r="R256" s="594"/>
    </row>
    <row r="257" spans="4:18" ht="12.75" x14ac:dyDescent="0.2">
      <c r="D257" s="590"/>
      <c r="E257" s="591"/>
      <c r="P257" s="594"/>
      <c r="Q257" s="594"/>
      <c r="R257" s="594"/>
    </row>
    <row r="258" spans="4:18" ht="12.75" x14ac:dyDescent="0.2">
      <c r="D258" s="590"/>
      <c r="E258" s="591"/>
      <c r="P258" s="594"/>
      <c r="Q258" s="594"/>
      <c r="R258" s="594"/>
    </row>
    <row r="259" spans="4:18" ht="12.75" x14ac:dyDescent="0.2">
      <c r="D259" s="590"/>
      <c r="E259" s="591"/>
      <c r="P259" s="594"/>
      <c r="Q259" s="594"/>
      <c r="R259" s="594"/>
    </row>
    <row r="260" spans="4:18" ht="12.75" x14ac:dyDescent="0.2">
      <c r="D260" s="590"/>
      <c r="E260" s="591"/>
      <c r="P260" s="594"/>
      <c r="Q260" s="594"/>
      <c r="R260" s="594"/>
    </row>
    <row r="261" spans="4:18" x14ac:dyDescent="0.2">
      <c r="P261" s="594"/>
      <c r="Q261" s="594"/>
      <c r="R261" s="594"/>
    </row>
    <row r="262" spans="4:18" x14ac:dyDescent="0.2">
      <c r="P262" s="594"/>
      <c r="Q262" s="594"/>
      <c r="R262" s="594"/>
    </row>
    <row r="263" spans="4:18" x14ac:dyDescent="0.2">
      <c r="P263" s="594"/>
      <c r="Q263" s="594"/>
      <c r="R263" s="594"/>
    </row>
    <row r="264" spans="4:18" x14ac:dyDescent="0.2">
      <c r="P264" s="594"/>
      <c r="Q264" s="594"/>
      <c r="R264" s="594"/>
    </row>
    <row r="265" spans="4:18" x14ac:dyDescent="0.2">
      <c r="P265" s="594"/>
      <c r="Q265" s="594"/>
      <c r="R265" s="594"/>
    </row>
    <row r="266" spans="4:18" x14ac:dyDescent="0.2">
      <c r="P266" s="594"/>
      <c r="Q266" s="594"/>
      <c r="R266" s="594"/>
    </row>
    <row r="267" spans="4:18" x14ac:dyDescent="0.2">
      <c r="P267" s="594"/>
      <c r="Q267" s="594"/>
      <c r="R267" s="594"/>
    </row>
    <row r="268" spans="4:18" x14ac:dyDescent="0.2">
      <c r="P268" s="594"/>
      <c r="Q268" s="594"/>
      <c r="R268" s="594"/>
    </row>
    <row r="269" spans="4:18" x14ac:dyDescent="0.2">
      <c r="P269" s="594"/>
      <c r="Q269" s="594"/>
      <c r="R269" s="594"/>
    </row>
    <row r="270" spans="4:18" x14ac:dyDescent="0.2">
      <c r="P270" s="594"/>
      <c r="Q270" s="594"/>
      <c r="R270" s="594"/>
    </row>
    <row r="271" spans="4:18" x14ac:dyDescent="0.2">
      <c r="P271" s="594"/>
      <c r="Q271" s="594"/>
      <c r="R271" s="594"/>
    </row>
    <row r="272" spans="4:18" x14ac:dyDescent="0.2">
      <c r="P272" s="594"/>
      <c r="Q272" s="594"/>
      <c r="R272" s="594"/>
    </row>
    <row r="273" spans="16:18" x14ac:dyDescent="0.2">
      <c r="P273" s="594"/>
      <c r="Q273" s="594"/>
      <c r="R273" s="594"/>
    </row>
    <row r="274" spans="16:18" x14ac:dyDescent="0.2">
      <c r="P274" s="594"/>
      <c r="Q274" s="594"/>
      <c r="R274" s="594"/>
    </row>
    <row r="275" spans="16:18" x14ac:dyDescent="0.2">
      <c r="P275" s="594"/>
      <c r="Q275" s="594"/>
      <c r="R275" s="594"/>
    </row>
    <row r="276" spans="16:18" x14ac:dyDescent="0.2">
      <c r="P276" s="594"/>
      <c r="Q276" s="594"/>
      <c r="R276" s="594"/>
    </row>
    <row r="277" spans="16:18" x14ac:dyDescent="0.2">
      <c r="P277" s="594"/>
      <c r="Q277" s="594"/>
      <c r="R277" s="594"/>
    </row>
    <row r="278" spans="16:18" x14ac:dyDescent="0.2">
      <c r="P278" s="594"/>
      <c r="Q278" s="594"/>
      <c r="R278" s="594"/>
    </row>
    <row r="279" spans="16:18" x14ac:dyDescent="0.2">
      <c r="P279" s="594"/>
      <c r="Q279" s="594"/>
      <c r="R279" s="594"/>
    </row>
    <row r="280" spans="16:18" x14ac:dyDescent="0.2">
      <c r="P280" s="594"/>
      <c r="Q280" s="594"/>
      <c r="R280" s="594"/>
    </row>
    <row r="281" spans="16:18" x14ac:dyDescent="0.2">
      <c r="P281" s="594"/>
      <c r="Q281" s="594"/>
      <c r="R281" s="594"/>
    </row>
    <row r="282" spans="16:18" x14ac:dyDescent="0.2">
      <c r="P282" s="594"/>
      <c r="Q282" s="594"/>
      <c r="R282" s="594"/>
    </row>
    <row r="283" spans="16:18" x14ac:dyDescent="0.2">
      <c r="P283" s="594"/>
      <c r="Q283" s="594"/>
      <c r="R283" s="594"/>
    </row>
    <row r="284" spans="16:18" x14ac:dyDescent="0.2">
      <c r="P284" s="594"/>
      <c r="Q284" s="594"/>
      <c r="R284" s="594"/>
    </row>
    <row r="285" spans="16:18" x14ac:dyDescent="0.2">
      <c r="P285" s="594"/>
      <c r="Q285" s="594"/>
      <c r="R285" s="594"/>
    </row>
    <row r="286" spans="16:18" x14ac:dyDescent="0.2">
      <c r="P286" s="594"/>
      <c r="Q286" s="594"/>
      <c r="R286" s="594"/>
    </row>
    <row r="287" spans="16:18" x14ac:dyDescent="0.2">
      <c r="P287" s="594"/>
      <c r="Q287" s="594"/>
      <c r="R287" s="594"/>
    </row>
    <row r="288" spans="16:18" x14ac:dyDescent="0.2">
      <c r="P288" s="594"/>
      <c r="Q288" s="594"/>
      <c r="R288" s="594"/>
    </row>
    <row r="289" spans="16:18" x14ac:dyDescent="0.2">
      <c r="P289" s="594"/>
      <c r="Q289" s="594"/>
      <c r="R289" s="594"/>
    </row>
    <row r="290" spans="16:18" x14ac:dyDescent="0.2">
      <c r="P290" s="594"/>
      <c r="Q290" s="594"/>
      <c r="R290" s="594"/>
    </row>
    <row r="291" spans="16:18" x14ac:dyDescent="0.2">
      <c r="P291" s="594"/>
      <c r="Q291" s="594"/>
      <c r="R291" s="594"/>
    </row>
    <row r="292" spans="16:18" x14ac:dyDescent="0.2">
      <c r="P292" s="594"/>
      <c r="Q292" s="594"/>
      <c r="R292" s="594"/>
    </row>
    <row r="293" spans="16:18" x14ac:dyDescent="0.2">
      <c r="P293" s="594"/>
      <c r="Q293" s="594"/>
      <c r="R293" s="594"/>
    </row>
    <row r="294" spans="16:18" x14ac:dyDescent="0.2">
      <c r="P294" s="594"/>
      <c r="Q294" s="594"/>
      <c r="R294" s="594"/>
    </row>
    <row r="295" spans="16:18" x14ac:dyDescent="0.2">
      <c r="P295" s="594"/>
      <c r="Q295" s="594"/>
      <c r="R295" s="594"/>
    </row>
    <row r="296" spans="16:18" x14ac:dyDescent="0.2">
      <c r="P296" s="594"/>
      <c r="Q296" s="594"/>
      <c r="R296" s="594"/>
    </row>
    <row r="297" spans="16:18" x14ac:dyDescent="0.2">
      <c r="P297" s="594"/>
      <c r="Q297" s="594"/>
      <c r="R297" s="594"/>
    </row>
    <row r="298" spans="16:18" x14ac:dyDescent="0.2">
      <c r="P298" s="594"/>
      <c r="Q298" s="594"/>
      <c r="R298" s="594"/>
    </row>
    <row r="299" spans="16:18" x14ac:dyDescent="0.2">
      <c r="P299" s="594"/>
      <c r="Q299" s="594"/>
      <c r="R299" s="594"/>
    </row>
    <row r="300" spans="16:18" x14ac:dyDescent="0.2">
      <c r="P300" s="594"/>
      <c r="Q300" s="594"/>
      <c r="R300" s="594"/>
    </row>
    <row r="301" spans="16:18" x14ac:dyDescent="0.2">
      <c r="P301" s="594"/>
      <c r="Q301" s="594"/>
      <c r="R301" s="594"/>
    </row>
    <row r="302" spans="16:18" x14ac:dyDescent="0.2">
      <c r="P302" s="594"/>
      <c r="Q302" s="594"/>
      <c r="R302" s="594"/>
    </row>
    <row r="303" spans="16:18" x14ac:dyDescent="0.2">
      <c r="P303" s="594"/>
      <c r="Q303" s="594"/>
      <c r="R303" s="594"/>
    </row>
    <row r="304" spans="16:18" x14ac:dyDescent="0.2">
      <c r="P304" s="594"/>
      <c r="Q304" s="594"/>
      <c r="R304" s="594"/>
    </row>
    <row r="305" spans="16:18" x14ac:dyDescent="0.2">
      <c r="P305" s="594"/>
      <c r="Q305" s="594"/>
      <c r="R305" s="594"/>
    </row>
    <row r="306" spans="16:18" x14ac:dyDescent="0.2">
      <c r="P306" s="594"/>
      <c r="Q306" s="594"/>
      <c r="R306" s="594"/>
    </row>
    <row r="307" spans="16:18" x14ac:dyDescent="0.2">
      <c r="P307" s="594"/>
      <c r="Q307" s="594"/>
      <c r="R307" s="594"/>
    </row>
    <row r="308" spans="16:18" x14ac:dyDescent="0.2">
      <c r="P308" s="594"/>
      <c r="Q308" s="594"/>
      <c r="R308" s="594"/>
    </row>
    <row r="309" spans="16:18" x14ac:dyDescent="0.2">
      <c r="P309" s="594"/>
      <c r="Q309" s="594"/>
      <c r="R309" s="594"/>
    </row>
    <row r="310" spans="16:18" x14ac:dyDescent="0.2">
      <c r="P310" s="594"/>
      <c r="Q310" s="594"/>
      <c r="R310" s="594"/>
    </row>
    <row r="311" spans="16:18" x14ac:dyDescent="0.2">
      <c r="P311" s="594"/>
      <c r="Q311" s="594"/>
      <c r="R311" s="594"/>
    </row>
    <row r="312" spans="16:18" x14ac:dyDescent="0.2">
      <c r="P312" s="594"/>
      <c r="Q312" s="594"/>
      <c r="R312" s="594"/>
    </row>
    <row r="313" spans="16:18" x14ac:dyDescent="0.2">
      <c r="P313" s="594"/>
      <c r="Q313" s="594"/>
      <c r="R313" s="594"/>
    </row>
    <row r="314" spans="16:18" x14ac:dyDescent="0.2">
      <c r="P314" s="594"/>
      <c r="Q314" s="594"/>
      <c r="R314" s="594"/>
    </row>
    <row r="315" spans="16:18" x14ac:dyDescent="0.2">
      <c r="P315" s="594"/>
      <c r="Q315" s="594"/>
      <c r="R315" s="594"/>
    </row>
    <row r="316" spans="16:18" x14ac:dyDescent="0.2">
      <c r="P316" s="594"/>
      <c r="Q316" s="594"/>
      <c r="R316" s="594"/>
    </row>
    <row r="317" spans="16:18" x14ac:dyDescent="0.2">
      <c r="P317" s="594"/>
      <c r="Q317" s="594"/>
      <c r="R317" s="594"/>
    </row>
    <row r="318" spans="16:18" x14ac:dyDescent="0.2">
      <c r="P318" s="594"/>
      <c r="Q318" s="594"/>
      <c r="R318" s="594"/>
    </row>
    <row r="319" spans="16:18" x14ac:dyDescent="0.2">
      <c r="P319" s="594"/>
      <c r="Q319" s="594"/>
      <c r="R319" s="594"/>
    </row>
    <row r="320" spans="16:18" x14ac:dyDescent="0.2">
      <c r="P320" s="594"/>
      <c r="Q320" s="594"/>
      <c r="R320" s="594"/>
    </row>
    <row r="321" spans="16:18" x14ac:dyDescent="0.2">
      <c r="P321" s="594"/>
      <c r="Q321" s="594"/>
      <c r="R321" s="594"/>
    </row>
    <row r="322" spans="16:18" x14ac:dyDescent="0.2">
      <c r="P322" s="594"/>
      <c r="Q322" s="594"/>
      <c r="R322" s="594"/>
    </row>
    <row r="323" spans="16:18" x14ac:dyDescent="0.2">
      <c r="P323" s="594"/>
      <c r="Q323" s="594"/>
      <c r="R323" s="594"/>
    </row>
    <row r="324" spans="16:18" x14ac:dyDescent="0.2">
      <c r="P324" s="594"/>
      <c r="Q324" s="594"/>
      <c r="R324" s="594"/>
    </row>
    <row r="325" spans="16:18" x14ac:dyDescent="0.2">
      <c r="P325" s="594"/>
      <c r="Q325" s="594"/>
      <c r="R325" s="594"/>
    </row>
    <row r="326" spans="16:18" x14ac:dyDescent="0.2">
      <c r="P326" s="594"/>
      <c r="Q326" s="594"/>
      <c r="R326" s="594"/>
    </row>
    <row r="327" spans="16:18" x14ac:dyDescent="0.2">
      <c r="P327" s="594"/>
      <c r="Q327" s="594"/>
      <c r="R327" s="594"/>
    </row>
    <row r="328" spans="16:18" x14ac:dyDescent="0.2">
      <c r="P328" s="594"/>
      <c r="Q328" s="594"/>
      <c r="R328" s="594"/>
    </row>
    <row r="329" spans="16:18" x14ac:dyDescent="0.2">
      <c r="P329" s="594"/>
      <c r="Q329" s="594"/>
      <c r="R329" s="594"/>
    </row>
    <row r="330" spans="16:18" x14ac:dyDescent="0.2">
      <c r="P330" s="594"/>
      <c r="Q330" s="594"/>
      <c r="R330" s="594"/>
    </row>
    <row r="331" spans="16:18" x14ac:dyDescent="0.2">
      <c r="P331" s="594"/>
      <c r="Q331" s="594"/>
      <c r="R331" s="594"/>
    </row>
    <row r="332" spans="16:18" x14ac:dyDescent="0.2">
      <c r="P332" s="594"/>
      <c r="Q332" s="594"/>
      <c r="R332" s="594"/>
    </row>
    <row r="333" spans="16:18" x14ac:dyDescent="0.2">
      <c r="P333" s="594"/>
      <c r="Q333" s="594"/>
      <c r="R333" s="594"/>
    </row>
    <row r="334" spans="16:18" x14ac:dyDescent="0.2">
      <c r="P334" s="594"/>
      <c r="Q334" s="594"/>
      <c r="R334" s="594"/>
    </row>
    <row r="335" spans="16:18" x14ac:dyDescent="0.2">
      <c r="P335" s="594"/>
      <c r="Q335" s="594"/>
      <c r="R335" s="594"/>
    </row>
    <row r="336" spans="16:18" x14ac:dyDescent="0.2">
      <c r="P336" s="594"/>
      <c r="Q336" s="594"/>
      <c r="R336" s="594"/>
    </row>
    <row r="337" spans="16:18" x14ac:dyDescent="0.2">
      <c r="P337" s="594"/>
      <c r="Q337" s="594"/>
      <c r="R337" s="594"/>
    </row>
    <row r="338" spans="16:18" x14ac:dyDescent="0.2">
      <c r="P338" s="594"/>
      <c r="Q338" s="594"/>
      <c r="R338" s="594"/>
    </row>
    <row r="339" spans="16:18" x14ac:dyDescent="0.2">
      <c r="P339" s="594"/>
      <c r="Q339" s="594"/>
      <c r="R339" s="594"/>
    </row>
    <row r="340" spans="16:18" x14ac:dyDescent="0.2">
      <c r="P340" s="594"/>
      <c r="Q340" s="594"/>
      <c r="R340" s="594"/>
    </row>
    <row r="341" spans="16:18" x14ac:dyDescent="0.2">
      <c r="P341" s="594"/>
      <c r="Q341" s="594"/>
      <c r="R341" s="594"/>
    </row>
    <row r="342" spans="16:18" x14ac:dyDescent="0.2">
      <c r="P342" s="594"/>
      <c r="Q342" s="594"/>
      <c r="R342" s="594"/>
    </row>
    <row r="343" spans="16:18" x14ac:dyDescent="0.2">
      <c r="P343" s="594"/>
      <c r="Q343" s="594"/>
      <c r="R343" s="594"/>
    </row>
    <row r="344" spans="16:18" x14ac:dyDescent="0.2">
      <c r="P344" s="594"/>
      <c r="Q344" s="594"/>
      <c r="R344" s="594"/>
    </row>
    <row r="345" spans="16:18" x14ac:dyDescent="0.2">
      <c r="P345" s="594"/>
      <c r="Q345" s="594"/>
      <c r="R345" s="594"/>
    </row>
    <row r="346" spans="16:18" x14ac:dyDescent="0.2">
      <c r="P346" s="594"/>
      <c r="Q346" s="594"/>
      <c r="R346" s="594"/>
    </row>
    <row r="347" spans="16:18" x14ac:dyDescent="0.2">
      <c r="P347" s="594"/>
      <c r="Q347" s="594"/>
      <c r="R347" s="594"/>
    </row>
    <row r="348" spans="16:18" x14ac:dyDescent="0.2">
      <c r="P348" s="594"/>
      <c r="Q348" s="594"/>
      <c r="R348" s="594"/>
    </row>
    <row r="349" spans="16:18" x14ac:dyDescent="0.2">
      <c r="P349" s="594"/>
      <c r="Q349" s="594"/>
      <c r="R349" s="594"/>
    </row>
    <row r="350" spans="16:18" x14ac:dyDescent="0.2">
      <c r="P350" s="594"/>
      <c r="Q350" s="594"/>
      <c r="R350" s="594"/>
    </row>
    <row r="351" spans="16:18" x14ac:dyDescent="0.2">
      <c r="P351" s="594"/>
      <c r="Q351" s="594"/>
      <c r="R351" s="594"/>
    </row>
    <row r="352" spans="16:18" x14ac:dyDescent="0.2">
      <c r="P352" s="594"/>
      <c r="Q352" s="594"/>
      <c r="R352" s="594"/>
    </row>
    <row r="353" spans="16:18" x14ac:dyDescent="0.2">
      <c r="P353" s="594"/>
      <c r="Q353" s="594"/>
      <c r="R353" s="594"/>
    </row>
    <row r="354" spans="16:18" x14ac:dyDescent="0.2">
      <c r="P354" s="594"/>
      <c r="Q354" s="594"/>
      <c r="R354" s="594"/>
    </row>
    <row r="355" spans="16:18" x14ac:dyDescent="0.2">
      <c r="P355" s="594"/>
      <c r="Q355" s="594"/>
      <c r="R355" s="594"/>
    </row>
    <row r="356" spans="16:18" x14ac:dyDescent="0.2">
      <c r="P356" s="594"/>
      <c r="Q356" s="594"/>
      <c r="R356" s="594"/>
    </row>
    <row r="357" spans="16:18" x14ac:dyDescent="0.2">
      <c r="P357" s="594"/>
      <c r="Q357" s="594"/>
      <c r="R357" s="594"/>
    </row>
    <row r="358" spans="16:18" x14ac:dyDescent="0.2">
      <c r="P358" s="594"/>
      <c r="Q358" s="594"/>
      <c r="R358" s="594"/>
    </row>
    <row r="359" spans="16:18" x14ac:dyDescent="0.2">
      <c r="P359" s="594"/>
      <c r="Q359" s="594"/>
      <c r="R359" s="594"/>
    </row>
    <row r="360" spans="16:18" x14ac:dyDescent="0.2">
      <c r="P360" s="594"/>
      <c r="Q360" s="594"/>
      <c r="R360" s="594"/>
    </row>
    <row r="361" spans="16:18" x14ac:dyDescent="0.2">
      <c r="P361" s="594"/>
      <c r="Q361" s="594"/>
      <c r="R361" s="594"/>
    </row>
    <row r="362" spans="16:18" x14ac:dyDescent="0.2">
      <c r="P362" s="594"/>
      <c r="Q362" s="594"/>
      <c r="R362" s="594"/>
    </row>
    <row r="363" spans="16:18" x14ac:dyDescent="0.2">
      <c r="P363" s="594"/>
      <c r="Q363" s="594"/>
      <c r="R363" s="594"/>
    </row>
    <row r="364" spans="16:18" x14ac:dyDescent="0.2">
      <c r="P364" s="594"/>
      <c r="Q364" s="594"/>
      <c r="R364" s="594"/>
    </row>
    <row r="365" spans="16:18" x14ac:dyDescent="0.2">
      <c r="P365" s="594"/>
      <c r="Q365" s="594"/>
      <c r="R365" s="594"/>
    </row>
    <row r="366" spans="16:18" x14ac:dyDescent="0.2">
      <c r="P366" s="594"/>
      <c r="Q366" s="594"/>
      <c r="R366" s="594"/>
    </row>
    <row r="367" spans="16:18" x14ac:dyDescent="0.2">
      <c r="P367" s="594"/>
      <c r="Q367" s="594"/>
      <c r="R367" s="594"/>
    </row>
    <row r="368" spans="16:18" x14ac:dyDescent="0.2">
      <c r="P368" s="594"/>
      <c r="Q368" s="594"/>
      <c r="R368" s="594"/>
    </row>
    <row r="369" spans="16:18" x14ac:dyDescent="0.2">
      <c r="P369" s="594"/>
      <c r="Q369" s="594"/>
      <c r="R369" s="594"/>
    </row>
    <row r="370" spans="16:18" x14ac:dyDescent="0.2">
      <c r="P370" s="594"/>
      <c r="Q370" s="594"/>
      <c r="R370" s="594"/>
    </row>
    <row r="371" spans="16:18" x14ac:dyDescent="0.2">
      <c r="P371" s="594"/>
      <c r="Q371" s="594"/>
      <c r="R371" s="594"/>
    </row>
    <row r="372" spans="16:18" x14ac:dyDescent="0.2">
      <c r="P372" s="594"/>
      <c r="Q372" s="594"/>
      <c r="R372" s="594"/>
    </row>
    <row r="373" spans="16:18" x14ac:dyDescent="0.2">
      <c r="P373" s="594"/>
      <c r="Q373" s="594"/>
      <c r="R373" s="594"/>
    </row>
    <row r="374" spans="16:18" x14ac:dyDescent="0.2">
      <c r="P374" s="594"/>
      <c r="Q374" s="594"/>
      <c r="R374" s="594"/>
    </row>
    <row r="375" spans="16:18" x14ac:dyDescent="0.2">
      <c r="P375" s="594"/>
      <c r="Q375" s="594"/>
      <c r="R375" s="594"/>
    </row>
    <row r="376" spans="16:18" x14ac:dyDescent="0.2">
      <c r="P376" s="594"/>
      <c r="Q376" s="594"/>
      <c r="R376" s="594"/>
    </row>
    <row r="377" spans="16:18" x14ac:dyDescent="0.2">
      <c r="P377" s="594"/>
      <c r="Q377" s="594"/>
      <c r="R377" s="594"/>
    </row>
    <row r="378" spans="16:18" x14ac:dyDescent="0.2">
      <c r="P378" s="594"/>
      <c r="Q378" s="594"/>
      <c r="R378" s="594"/>
    </row>
    <row r="379" spans="16:18" x14ac:dyDescent="0.2">
      <c r="P379" s="594"/>
      <c r="Q379" s="594"/>
      <c r="R379" s="594"/>
    </row>
    <row r="380" spans="16:18" x14ac:dyDescent="0.2">
      <c r="P380" s="594"/>
      <c r="Q380" s="594"/>
      <c r="R380" s="594"/>
    </row>
    <row r="381" spans="16:18" x14ac:dyDescent="0.2">
      <c r="P381" s="594"/>
      <c r="Q381" s="594"/>
      <c r="R381" s="594"/>
    </row>
    <row r="382" spans="16:18" x14ac:dyDescent="0.2">
      <c r="P382" s="594"/>
      <c r="Q382" s="594"/>
      <c r="R382" s="594"/>
    </row>
    <row r="383" spans="16:18" x14ac:dyDescent="0.2">
      <c r="P383" s="594"/>
      <c r="Q383" s="594"/>
      <c r="R383" s="594"/>
    </row>
    <row r="384" spans="16:18" x14ac:dyDescent="0.2">
      <c r="P384" s="594"/>
      <c r="Q384" s="594"/>
      <c r="R384" s="594"/>
    </row>
    <row r="385" spans="16:18" x14ac:dyDescent="0.2">
      <c r="P385" s="594"/>
      <c r="Q385" s="594"/>
      <c r="R385" s="594"/>
    </row>
    <row r="386" spans="16:18" x14ac:dyDescent="0.2">
      <c r="P386" s="594"/>
      <c r="Q386" s="594"/>
      <c r="R386" s="594"/>
    </row>
    <row r="387" spans="16:18" x14ac:dyDescent="0.2">
      <c r="P387" s="594"/>
      <c r="Q387" s="594"/>
      <c r="R387" s="594"/>
    </row>
    <row r="388" spans="16:18" x14ac:dyDescent="0.2">
      <c r="P388" s="594"/>
      <c r="Q388" s="594"/>
      <c r="R388" s="594"/>
    </row>
    <row r="389" spans="16:18" x14ac:dyDescent="0.2">
      <c r="P389" s="594"/>
      <c r="Q389" s="594"/>
      <c r="R389" s="594"/>
    </row>
    <row r="390" spans="16:18" x14ac:dyDescent="0.2">
      <c r="P390" s="594"/>
      <c r="Q390" s="594"/>
      <c r="R390" s="594"/>
    </row>
    <row r="391" spans="16:18" x14ac:dyDescent="0.2">
      <c r="P391" s="594"/>
      <c r="Q391" s="594"/>
      <c r="R391" s="594"/>
    </row>
    <row r="392" spans="16:18" x14ac:dyDescent="0.2">
      <c r="P392" s="594"/>
      <c r="Q392" s="594"/>
      <c r="R392" s="594"/>
    </row>
    <row r="393" spans="16:18" x14ac:dyDescent="0.2">
      <c r="P393" s="594"/>
      <c r="Q393" s="594"/>
      <c r="R393" s="594"/>
    </row>
    <row r="394" spans="16:18" x14ac:dyDescent="0.2">
      <c r="P394" s="594"/>
      <c r="Q394" s="594"/>
      <c r="R394" s="594"/>
    </row>
    <row r="395" spans="16:18" x14ac:dyDescent="0.2">
      <c r="P395" s="594"/>
      <c r="Q395" s="594"/>
      <c r="R395" s="594"/>
    </row>
    <row r="396" spans="16:18" x14ac:dyDescent="0.2">
      <c r="P396" s="594"/>
      <c r="Q396" s="594"/>
      <c r="R396" s="594"/>
    </row>
    <row r="397" spans="16:18" x14ac:dyDescent="0.2">
      <c r="P397" s="594"/>
      <c r="Q397" s="594"/>
      <c r="R397" s="594"/>
    </row>
    <row r="398" spans="16:18" x14ac:dyDescent="0.2">
      <c r="P398" s="594"/>
      <c r="Q398" s="594"/>
      <c r="R398" s="594"/>
    </row>
    <row r="399" spans="16:18" x14ac:dyDescent="0.2">
      <c r="P399" s="594"/>
      <c r="Q399" s="594"/>
      <c r="R399" s="594"/>
    </row>
    <row r="400" spans="16:18" x14ac:dyDescent="0.2">
      <c r="P400" s="594"/>
      <c r="Q400" s="594"/>
      <c r="R400" s="594"/>
    </row>
    <row r="401" spans="16:18" x14ac:dyDescent="0.2">
      <c r="P401" s="594"/>
      <c r="Q401" s="594"/>
      <c r="R401" s="594"/>
    </row>
    <row r="402" spans="16:18" x14ac:dyDescent="0.2">
      <c r="P402" s="594"/>
      <c r="Q402" s="594"/>
      <c r="R402" s="594"/>
    </row>
    <row r="403" spans="16:18" x14ac:dyDescent="0.2">
      <c r="P403" s="594"/>
      <c r="Q403" s="594"/>
      <c r="R403" s="594"/>
    </row>
    <row r="404" spans="16:18" x14ac:dyDescent="0.2">
      <c r="P404" s="594"/>
      <c r="Q404" s="594"/>
      <c r="R404" s="594"/>
    </row>
    <row r="405" spans="16:18" x14ac:dyDescent="0.2">
      <c r="P405" s="594"/>
      <c r="Q405" s="594"/>
      <c r="R405" s="594"/>
    </row>
    <row r="406" spans="16:18" x14ac:dyDescent="0.2">
      <c r="P406" s="594"/>
      <c r="Q406" s="594"/>
      <c r="R406" s="594"/>
    </row>
    <row r="407" spans="16:18" x14ac:dyDescent="0.2">
      <c r="P407" s="594"/>
      <c r="Q407" s="594"/>
      <c r="R407" s="594"/>
    </row>
    <row r="408" spans="16:18" x14ac:dyDescent="0.2">
      <c r="P408" s="594"/>
      <c r="Q408" s="594"/>
      <c r="R408" s="594"/>
    </row>
    <row r="409" spans="16:18" x14ac:dyDescent="0.2">
      <c r="P409" s="594"/>
      <c r="Q409" s="594"/>
      <c r="R409" s="594"/>
    </row>
    <row r="410" spans="16:18" x14ac:dyDescent="0.2">
      <c r="P410" s="594"/>
      <c r="Q410" s="594"/>
      <c r="R410" s="594"/>
    </row>
    <row r="411" spans="16:18" x14ac:dyDescent="0.2">
      <c r="P411" s="594"/>
      <c r="Q411" s="594"/>
      <c r="R411" s="594"/>
    </row>
    <row r="412" spans="16:18" x14ac:dyDescent="0.2">
      <c r="P412" s="594"/>
      <c r="Q412" s="594"/>
      <c r="R412" s="594"/>
    </row>
    <row r="413" spans="16:18" x14ac:dyDescent="0.2">
      <c r="P413" s="594"/>
      <c r="Q413" s="594"/>
      <c r="R413" s="594"/>
    </row>
    <row r="414" spans="16:18" x14ac:dyDescent="0.2">
      <c r="P414" s="594"/>
      <c r="Q414" s="594"/>
      <c r="R414" s="594"/>
    </row>
    <row r="415" spans="16:18" x14ac:dyDescent="0.2">
      <c r="P415" s="594"/>
      <c r="Q415" s="594"/>
      <c r="R415" s="594"/>
    </row>
    <row r="416" spans="16:18" x14ac:dyDescent="0.2">
      <c r="P416" s="594"/>
      <c r="Q416" s="594"/>
      <c r="R416" s="594"/>
    </row>
    <row r="417" spans="16:18" x14ac:dyDescent="0.2">
      <c r="P417" s="594"/>
      <c r="Q417" s="594"/>
      <c r="R417" s="594"/>
    </row>
    <row r="418" spans="16:18" x14ac:dyDescent="0.2">
      <c r="P418" s="594"/>
      <c r="Q418" s="594"/>
      <c r="R418" s="594"/>
    </row>
    <row r="419" spans="16:18" x14ac:dyDescent="0.2">
      <c r="P419" s="594"/>
      <c r="Q419" s="594"/>
      <c r="R419" s="594"/>
    </row>
    <row r="420" spans="16:18" x14ac:dyDescent="0.2">
      <c r="P420" s="594"/>
      <c r="Q420" s="594"/>
      <c r="R420" s="594"/>
    </row>
    <row r="421" spans="16:18" x14ac:dyDescent="0.2">
      <c r="P421" s="594"/>
      <c r="Q421" s="594"/>
      <c r="R421" s="594"/>
    </row>
    <row r="422" spans="16:18" x14ac:dyDescent="0.2">
      <c r="P422" s="594"/>
      <c r="Q422" s="594"/>
      <c r="R422" s="594"/>
    </row>
    <row r="423" spans="16:18" x14ac:dyDescent="0.2">
      <c r="P423" s="594"/>
      <c r="Q423" s="594"/>
      <c r="R423" s="594"/>
    </row>
    <row r="424" spans="16:18" x14ac:dyDescent="0.2">
      <c r="P424" s="594"/>
      <c r="Q424" s="594"/>
      <c r="R424" s="594"/>
    </row>
    <row r="425" spans="16:18" x14ac:dyDescent="0.2">
      <c r="P425" s="594"/>
      <c r="Q425" s="594"/>
      <c r="R425" s="594"/>
    </row>
    <row r="426" spans="16:18" x14ac:dyDescent="0.2">
      <c r="P426" s="594"/>
      <c r="Q426" s="594"/>
      <c r="R426" s="594"/>
    </row>
  </sheetData>
  <sheetProtection algorithmName="SHA-512" hashValue="4In67mSDg4p+P+RJp8JV6JsPaJlkeYZGoyEUS2KYvKPnK9pONAgBqHYz697ptX8ADn/eLDTxPud7pyMsA2Xt9A==" saltValue="Exn7CS18MRZdRPN5kIcc0A==" spinCount="100000" sheet="1" objects="1" scenarios="1"/>
  <mergeCells count="5">
    <mergeCell ref="B8:C8"/>
    <mergeCell ref="B9:C9"/>
    <mergeCell ref="A168:R168"/>
    <mergeCell ref="A167:R167"/>
    <mergeCell ref="A183:R183"/>
  </mergeCells>
  <phoneticPr fontId="0" type="noConversion"/>
  <printOptions horizontalCentered="1"/>
  <pageMargins left="0.17" right="0.16" top="0.53" bottom="0.8" header="0.5" footer="0.5"/>
  <pageSetup scale="74" fitToHeight="5" orientation="landscape" r:id="rId1"/>
  <headerFooter alignWithMargins="0">
    <oddFooter>&amp;LHawai'i DOH
Summer 2016&amp;C&amp;8Page &amp;P of &amp;N&amp;R&amp;A</oddFooter>
  </headerFooter>
  <rowBreaks count="1" manualBreakCount="1">
    <brk id="15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9"/>
  </sheetPr>
  <dimension ref="A1:Q398"/>
  <sheetViews>
    <sheetView workbookViewId="0">
      <pane ySplit="3240" topLeftCell="A5" activePane="bottomLeft"/>
      <selection activeCell="A2" sqref="A2"/>
      <selection pane="bottomLeft" activeCell="A17" sqref="A17"/>
    </sheetView>
  </sheetViews>
  <sheetFormatPr defaultRowHeight="11.25" x14ac:dyDescent="0.2"/>
  <cols>
    <col min="1" max="1" width="40.7109375" style="113" customWidth="1"/>
    <col min="2" max="3" width="4.28515625" style="6" customWidth="1"/>
    <col min="4" max="4" width="7.85546875" style="6" customWidth="1"/>
    <col min="5" max="8" width="5.7109375" style="6" customWidth="1"/>
    <col min="9" max="9" width="6.5703125" style="6" customWidth="1"/>
    <col min="10" max="10" width="5.7109375" style="6" customWidth="1"/>
    <col min="11" max="11" width="8" style="6" customWidth="1"/>
    <col min="12" max="12" width="7.5703125" style="1" customWidth="1"/>
    <col min="13" max="13" width="6.5703125" style="12" customWidth="1"/>
    <col min="14" max="14" width="7.7109375" style="12" customWidth="1"/>
    <col min="15" max="15" width="5.7109375" style="12" customWidth="1"/>
    <col min="16" max="16" width="19.28515625" style="170" customWidth="1"/>
    <col min="17" max="16384" width="9.140625" style="5"/>
  </cols>
  <sheetData>
    <row r="1" spans="1:16" ht="47.25" x14ac:dyDescent="0.25">
      <c r="A1" s="168" t="s">
        <v>509</v>
      </c>
      <c r="B1" s="9"/>
      <c r="C1" s="9"/>
      <c r="D1" s="10"/>
      <c r="E1" s="10"/>
      <c r="F1" s="10"/>
      <c r="G1" s="10"/>
      <c r="H1" s="10"/>
      <c r="I1" s="10"/>
      <c r="J1" s="10"/>
      <c r="K1" s="10"/>
      <c r="L1" s="28"/>
      <c r="M1" s="11"/>
      <c r="N1" s="11"/>
      <c r="O1" s="11"/>
      <c r="P1" s="169"/>
    </row>
    <row r="2" spans="1:16" ht="12" thickBot="1" x14ac:dyDescent="0.25">
      <c r="A2" s="416" t="s">
        <v>536</v>
      </c>
      <c r="B2" s="7"/>
      <c r="C2" s="7"/>
      <c r="D2" s="7"/>
      <c r="E2" s="7"/>
      <c r="F2" s="7"/>
      <c r="G2" s="7"/>
      <c r="H2" s="7"/>
      <c r="I2" s="7"/>
      <c r="J2" s="7"/>
      <c r="K2" s="7"/>
      <c r="L2" s="27"/>
    </row>
    <row r="3" spans="1:16" ht="12" customHeight="1" thickTop="1" x14ac:dyDescent="0.2">
      <c r="A3" s="504" t="s">
        <v>133</v>
      </c>
      <c r="B3" s="46" t="s">
        <v>350</v>
      </c>
      <c r="C3" s="160"/>
      <c r="D3" s="47"/>
      <c r="E3" s="48"/>
      <c r="F3" s="48"/>
      <c r="G3" s="48"/>
      <c r="H3" s="49"/>
      <c r="I3" s="49"/>
      <c r="J3" s="48"/>
      <c r="K3" s="48"/>
      <c r="L3" s="50"/>
      <c r="M3" s="51"/>
      <c r="N3" s="51"/>
      <c r="O3" s="51"/>
      <c r="P3" s="52"/>
    </row>
    <row r="4" spans="1:16" s="29" customFormat="1" ht="78" customHeight="1" thickBot="1" x14ac:dyDescent="0.25">
      <c r="A4" s="505"/>
      <c r="B4" s="53" t="s">
        <v>412</v>
      </c>
      <c r="C4" s="53" t="s">
        <v>254</v>
      </c>
      <c r="D4" s="54" t="s">
        <v>255</v>
      </c>
      <c r="E4" s="55" t="s">
        <v>430</v>
      </c>
      <c r="F4" s="55" t="s">
        <v>431</v>
      </c>
      <c r="G4" s="55" t="s">
        <v>432</v>
      </c>
      <c r="H4" s="55" t="s">
        <v>433</v>
      </c>
      <c r="I4" s="55" t="s">
        <v>434</v>
      </c>
      <c r="J4" s="55" t="s">
        <v>435</v>
      </c>
      <c r="K4" s="55" t="s">
        <v>436</v>
      </c>
      <c r="L4" s="56" t="s">
        <v>437</v>
      </c>
      <c r="M4" s="57" t="s">
        <v>438</v>
      </c>
      <c r="N4" s="57" t="s">
        <v>439</v>
      </c>
      <c r="O4" s="58" t="s">
        <v>256</v>
      </c>
      <c r="P4" s="59" t="s">
        <v>308</v>
      </c>
    </row>
    <row r="5" spans="1:16" s="29" customFormat="1" x14ac:dyDescent="0.2">
      <c r="A5" s="132" t="s">
        <v>395</v>
      </c>
      <c r="B5" s="171" t="s">
        <v>330</v>
      </c>
      <c r="C5" s="161"/>
      <c r="D5" s="172" t="s">
        <v>215</v>
      </c>
      <c r="E5" s="133"/>
      <c r="F5" s="133"/>
      <c r="G5" s="133"/>
      <c r="H5" s="133"/>
      <c r="I5" s="135"/>
      <c r="J5" s="134">
        <v>3</v>
      </c>
      <c r="K5" s="133"/>
      <c r="L5" s="133"/>
      <c r="M5" s="136"/>
      <c r="N5" s="137"/>
      <c r="O5" s="143">
        <v>3</v>
      </c>
      <c r="P5" s="173"/>
    </row>
    <row r="6" spans="1:16" s="29" customFormat="1" x14ac:dyDescent="0.2">
      <c r="A6" s="66" t="s">
        <v>396</v>
      </c>
      <c r="B6" s="174" t="s">
        <v>330</v>
      </c>
      <c r="C6" s="162"/>
      <c r="D6" s="175"/>
      <c r="E6" s="61"/>
      <c r="F6" s="61"/>
      <c r="G6" s="61"/>
      <c r="H6" s="61"/>
      <c r="I6" s="62" t="s">
        <v>215</v>
      </c>
      <c r="J6" s="62">
        <v>3</v>
      </c>
      <c r="K6" s="61"/>
      <c r="L6" s="61"/>
      <c r="M6" s="30"/>
      <c r="N6" s="31"/>
      <c r="O6" s="34">
        <v>3</v>
      </c>
      <c r="P6" s="176" t="s">
        <v>141</v>
      </c>
    </row>
    <row r="7" spans="1:16" s="29" customFormat="1" x14ac:dyDescent="0.2">
      <c r="A7" s="66" t="s">
        <v>397</v>
      </c>
      <c r="B7" s="174" t="s">
        <v>330</v>
      </c>
      <c r="C7" s="162"/>
      <c r="D7" s="177" t="s">
        <v>215</v>
      </c>
      <c r="E7" s="61"/>
      <c r="F7" s="61"/>
      <c r="G7" s="61"/>
      <c r="H7" s="61"/>
      <c r="I7" s="62">
        <v>2</v>
      </c>
      <c r="J7" s="61"/>
      <c r="K7" s="62" t="s">
        <v>215</v>
      </c>
      <c r="L7" s="61"/>
      <c r="M7" s="30"/>
      <c r="N7" s="30"/>
      <c r="O7" s="31"/>
      <c r="P7" s="176"/>
    </row>
    <row r="8" spans="1:16" s="29" customFormat="1" x14ac:dyDescent="0.2">
      <c r="A8" s="66" t="s">
        <v>398</v>
      </c>
      <c r="B8" s="174" t="s">
        <v>331</v>
      </c>
      <c r="C8" s="162"/>
      <c r="D8" s="177">
        <v>5</v>
      </c>
      <c r="E8" s="61"/>
      <c r="F8" s="63"/>
      <c r="G8" s="61"/>
      <c r="H8" s="61"/>
      <c r="I8" s="61"/>
      <c r="J8" s="63"/>
      <c r="K8" s="61"/>
      <c r="L8" s="62">
        <v>2</v>
      </c>
      <c r="M8" s="30"/>
      <c r="N8" s="30"/>
      <c r="O8" s="30"/>
      <c r="P8" s="176"/>
    </row>
    <row r="9" spans="1:16" s="29" customFormat="1" x14ac:dyDescent="0.2">
      <c r="A9" s="66" t="s">
        <v>84</v>
      </c>
      <c r="B9" s="174" t="s">
        <v>330</v>
      </c>
      <c r="C9" s="163"/>
      <c r="D9" s="177">
        <v>5</v>
      </c>
      <c r="E9" s="61"/>
      <c r="F9" s="61"/>
      <c r="G9" s="61"/>
      <c r="H9" s="61"/>
      <c r="I9" s="63"/>
      <c r="J9" s="63"/>
      <c r="K9" s="63"/>
      <c r="L9" s="63"/>
      <c r="M9" s="31"/>
      <c r="N9" s="31"/>
      <c r="O9" s="31"/>
      <c r="P9" s="176"/>
    </row>
    <row r="10" spans="1:16" s="29" customFormat="1" x14ac:dyDescent="0.2">
      <c r="A10" s="66" t="s">
        <v>85</v>
      </c>
      <c r="B10" s="174" t="s">
        <v>330</v>
      </c>
      <c r="C10" s="163"/>
      <c r="D10" s="177" t="s">
        <v>216</v>
      </c>
      <c r="E10" s="61"/>
      <c r="F10" s="61"/>
      <c r="G10" s="61"/>
      <c r="H10" s="62" t="s">
        <v>217</v>
      </c>
      <c r="I10" s="62" t="s">
        <v>216</v>
      </c>
      <c r="J10" s="63"/>
      <c r="K10" s="63"/>
      <c r="L10" s="63"/>
      <c r="M10" s="34">
        <v>6</v>
      </c>
      <c r="N10" s="31"/>
      <c r="O10" s="34" t="s">
        <v>217</v>
      </c>
      <c r="P10" s="176" t="s">
        <v>218</v>
      </c>
    </row>
    <row r="11" spans="1:16" s="29" customFormat="1" x14ac:dyDescent="0.2">
      <c r="A11" s="66" t="s">
        <v>363</v>
      </c>
      <c r="B11" s="174" t="s">
        <v>330</v>
      </c>
      <c r="C11" s="163"/>
      <c r="D11" s="177" t="s">
        <v>216</v>
      </c>
      <c r="E11" s="61"/>
      <c r="F11" s="61"/>
      <c r="G11" s="61"/>
      <c r="H11" s="62" t="s">
        <v>217</v>
      </c>
      <c r="I11" s="62" t="s">
        <v>216</v>
      </c>
      <c r="J11" s="63"/>
      <c r="K11" s="63"/>
      <c r="L11" s="63"/>
      <c r="M11" s="34">
        <v>6</v>
      </c>
      <c r="N11" s="31"/>
      <c r="O11" s="34" t="s">
        <v>217</v>
      </c>
      <c r="P11" s="176" t="s">
        <v>218</v>
      </c>
    </row>
    <row r="12" spans="1:16" s="29" customFormat="1" x14ac:dyDescent="0.2">
      <c r="A12" s="66" t="s">
        <v>399</v>
      </c>
      <c r="B12" s="174" t="s">
        <v>330</v>
      </c>
      <c r="C12" s="162"/>
      <c r="D12" s="178"/>
      <c r="E12" s="61"/>
      <c r="F12" s="61"/>
      <c r="G12" s="61"/>
      <c r="H12" s="61"/>
      <c r="I12" s="61"/>
      <c r="J12" s="62">
        <v>3</v>
      </c>
      <c r="K12" s="61"/>
      <c r="L12" s="61"/>
      <c r="M12" s="30"/>
      <c r="N12" s="30"/>
      <c r="O12" s="34">
        <v>3</v>
      </c>
      <c r="P12" s="176"/>
    </row>
    <row r="13" spans="1:16" s="29" customFormat="1" x14ac:dyDescent="0.2">
      <c r="A13" s="66" t="s">
        <v>400</v>
      </c>
      <c r="B13" s="174" t="s">
        <v>330</v>
      </c>
      <c r="C13" s="162"/>
      <c r="D13" s="175"/>
      <c r="E13" s="62">
        <v>3</v>
      </c>
      <c r="F13" s="61"/>
      <c r="G13" s="61"/>
      <c r="H13" s="62" t="s">
        <v>217</v>
      </c>
      <c r="I13" s="62" t="s">
        <v>353</v>
      </c>
      <c r="J13" s="61"/>
      <c r="K13" s="61"/>
      <c r="L13" s="61"/>
      <c r="M13" s="34">
        <v>3</v>
      </c>
      <c r="N13" s="34" t="s">
        <v>175</v>
      </c>
      <c r="O13" s="31"/>
      <c r="P13" s="176"/>
    </row>
    <row r="14" spans="1:16" s="29" customFormat="1" x14ac:dyDescent="0.2">
      <c r="A14" s="66" t="s">
        <v>401</v>
      </c>
      <c r="B14" s="174" t="s">
        <v>332</v>
      </c>
      <c r="C14" s="162"/>
      <c r="D14" s="177" t="s">
        <v>219</v>
      </c>
      <c r="E14" s="62" t="s">
        <v>362</v>
      </c>
      <c r="F14" s="62" t="s">
        <v>175</v>
      </c>
      <c r="G14" s="61"/>
      <c r="H14" s="63"/>
      <c r="I14" s="62" t="s">
        <v>219</v>
      </c>
      <c r="J14" s="61"/>
      <c r="K14" s="61"/>
      <c r="L14" s="62" t="s">
        <v>175</v>
      </c>
      <c r="M14" s="30"/>
      <c r="N14" s="30"/>
      <c r="O14" s="34" t="s">
        <v>220</v>
      </c>
      <c r="P14" s="176"/>
    </row>
    <row r="15" spans="1:16" s="29" customFormat="1" x14ac:dyDescent="0.2">
      <c r="A15" s="66" t="s">
        <v>364</v>
      </c>
      <c r="B15" s="174" t="s">
        <v>344</v>
      </c>
      <c r="C15" s="163"/>
      <c r="D15" s="177">
        <v>2</v>
      </c>
      <c r="E15" s="62" t="s">
        <v>441</v>
      </c>
      <c r="F15" s="62" t="s">
        <v>221</v>
      </c>
      <c r="G15" s="61"/>
      <c r="H15" s="61"/>
      <c r="I15" s="63"/>
      <c r="J15" s="63"/>
      <c r="K15" s="62">
        <v>2</v>
      </c>
      <c r="L15" s="63"/>
      <c r="M15" s="34">
        <v>7</v>
      </c>
      <c r="N15" s="31"/>
      <c r="O15" s="34">
        <v>2</v>
      </c>
      <c r="P15" s="176"/>
    </row>
    <row r="16" spans="1:16" s="29" customFormat="1" x14ac:dyDescent="0.2">
      <c r="A16" s="66" t="s">
        <v>402</v>
      </c>
      <c r="B16" s="174" t="s">
        <v>330</v>
      </c>
      <c r="C16" s="162"/>
      <c r="D16" s="179"/>
      <c r="E16" s="62">
        <v>3</v>
      </c>
      <c r="F16" s="61"/>
      <c r="G16" s="61"/>
      <c r="H16" s="61"/>
      <c r="I16" s="34">
        <v>4</v>
      </c>
      <c r="J16" s="61"/>
      <c r="K16" s="62">
        <v>5</v>
      </c>
      <c r="L16" s="61"/>
      <c r="M16" s="34">
        <v>4</v>
      </c>
      <c r="N16" s="30"/>
      <c r="O16" s="30"/>
      <c r="P16" s="176"/>
    </row>
    <row r="17" spans="1:16" s="29" customFormat="1" x14ac:dyDescent="0.2">
      <c r="A17" s="3" t="s">
        <v>538</v>
      </c>
      <c r="B17" s="174" t="s">
        <v>344</v>
      </c>
      <c r="C17" s="162"/>
      <c r="D17" s="179"/>
      <c r="E17" s="63"/>
      <c r="F17" s="419">
        <v>5</v>
      </c>
      <c r="G17" s="63"/>
      <c r="H17" s="63"/>
      <c r="I17" s="31"/>
      <c r="J17" s="63"/>
      <c r="K17" s="63"/>
      <c r="L17" s="63"/>
      <c r="M17" s="31"/>
      <c r="N17" s="30"/>
      <c r="O17" s="30"/>
      <c r="P17" s="176"/>
    </row>
    <row r="18" spans="1:16" s="29" customFormat="1" x14ac:dyDescent="0.2">
      <c r="A18" s="66" t="s">
        <v>403</v>
      </c>
      <c r="B18" s="174" t="s">
        <v>332</v>
      </c>
      <c r="C18" s="162"/>
      <c r="D18" s="177">
        <v>2</v>
      </c>
      <c r="E18" s="61"/>
      <c r="F18" s="62" t="s">
        <v>362</v>
      </c>
      <c r="G18" s="63"/>
      <c r="H18" s="63"/>
      <c r="I18" s="62" t="s">
        <v>175</v>
      </c>
      <c r="J18" s="62">
        <v>2</v>
      </c>
      <c r="K18" s="63"/>
      <c r="L18" s="34">
        <v>1</v>
      </c>
      <c r="M18" s="30"/>
      <c r="N18" s="30"/>
      <c r="O18" s="30"/>
      <c r="P18" s="176"/>
    </row>
    <row r="19" spans="1:16" s="29" customFormat="1" x14ac:dyDescent="0.2">
      <c r="A19" s="66" t="s">
        <v>404</v>
      </c>
      <c r="B19" s="174" t="s">
        <v>331</v>
      </c>
      <c r="C19" s="162" t="s">
        <v>112</v>
      </c>
      <c r="D19" s="175"/>
      <c r="E19" s="61"/>
      <c r="F19" s="61"/>
      <c r="G19" s="61"/>
      <c r="H19" s="61"/>
      <c r="I19" s="61"/>
      <c r="J19" s="62">
        <v>3</v>
      </c>
      <c r="K19" s="61"/>
      <c r="L19" s="61"/>
      <c r="M19" s="30"/>
      <c r="N19" s="30"/>
      <c r="O19" s="34">
        <v>3</v>
      </c>
      <c r="P19" s="176" t="s">
        <v>323</v>
      </c>
    </row>
    <row r="20" spans="1:16" s="29" customFormat="1" x14ac:dyDescent="0.2">
      <c r="A20" s="66" t="s">
        <v>405</v>
      </c>
      <c r="B20" s="174" t="s">
        <v>331</v>
      </c>
      <c r="C20" s="162" t="s">
        <v>112</v>
      </c>
      <c r="D20" s="175"/>
      <c r="E20" s="61"/>
      <c r="F20" s="61"/>
      <c r="G20" s="61"/>
      <c r="H20" s="61"/>
      <c r="I20" s="63"/>
      <c r="J20" s="62">
        <v>3</v>
      </c>
      <c r="K20" s="61"/>
      <c r="L20" s="61"/>
      <c r="M20" s="34">
        <v>2</v>
      </c>
      <c r="N20" s="30"/>
      <c r="O20" s="34">
        <v>3</v>
      </c>
      <c r="P20" s="176" t="s">
        <v>323</v>
      </c>
    </row>
    <row r="21" spans="1:16" s="29" customFormat="1" x14ac:dyDescent="0.2">
      <c r="A21" s="66" t="s">
        <v>406</v>
      </c>
      <c r="B21" s="174" t="s">
        <v>331</v>
      </c>
      <c r="C21" s="162" t="s">
        <v>112</v>
      </c>
      <c r="D21" s="175"/>
      <c r="E21" s="61"/>
      <c r="F21" s="61"/>
      <c r="G21" s="61"/>
      <c r="H21" s="61"/>
      <c r="I21" s="61"/>
      <c r="J21" s="62">
        <v>3</v>
      </c>
      <c r="K21" s="61"/>
      <c r="L21" s="61"/>
      <c r="M21" s="30"/>
      <c r="N21" s="30"/>
      <c r="O21" s="34">
        <v>3</v>
      </c>
      <c r="P21" s="176" t="s">
        <v>323</v>
      </c>
    </row>
    <row r="22" spans="1:16" s="29" customFormat="1" x14ac:dyDescent="0.2">
      <c r="A22" s="66" t="s">
        <v>407</v>
      </c>
      <c r="B22" s="174" t="s">
        <v>330</v>
      </c>
      <c r="C22" s="162"/>
      <c r="D22" s="177" t="s">
        <v>215</v>
      </c>
      <c r="E22" s="61"/>
      <c r="F22" s="61"/>
      <c r="G22" s="61"/>
      <c r="H22" s="61"/>
      <c r="I22" s="62" t="s">
        <v>215</v>
      </c>
      <c r="J22" s="62">
        <v>3</v>
      </c>
      <c r="K22" s="62" t="s">
        <v>215</v>
      </c>
      <c r="L22" s="61"/>
      <c r="M22" s="30"/>
      <c r="N22" s="30"/>
      <c r="O22" s="34">
        <v>3</v>
      </c>
      <c r="P22" s="176" t="s">
        <v>140</v>
      </c>
    </row>
    <row r="23" spans="1:16" s="29" customFormat="1" x14ac:dyDescent="0.2">
      <c r="A23" s="66" t="s">
        <v>408</v>
      </c>
      <c r="B23" s="174" t="s">
        <v>331</v>
      </c>
      <c r="C23" s="162" t="s">
        <v>112</v>
      </c>
      <c r="D23" s="175"/>
      <c r="E23" s="61"/>
      <c r="F23" s="61"/>
      <c r="G23" s="61"/>
      <c r="H23" s="61"/>
      <c r="I23" s="61"/>
      <c r="J23" s="62">
        <v>3</v>
      </c>
      <c r="K23" s="61"/>
      <c r="L23" s="61"/>
      <c r="M23" s="30"/>
      <c r="N23" s="30"/>
      <c r="O23" s="34">
        <v>3</v>
      </c>
      <c r="P23" s="176" t="s">
        <v>323</v>
      </c>
    </row>
    <row r="24" spans="1:16" s="29" customFormat="1" x14ac:dyDescent="0.2">
      <c r="A24" s="66" t="s">
        <v>91</v>
      </c>
      <c r="B24" s="174" t="s">
        <v>342</v>
      </c>
      <c r="C24" s="162"/>
      <c r="D24" s="177" t="s">
        <v>222</v>
      </c>
      <c r="E24" s="61"/>
      <c r="F24" s="61"/>
      <c r="G24" s="61"/>
      <c r="H24" s="61"/>
      <c r="I24" s="61"/>
      <c r="J24" s="62">
        <v>1</v>
      </c>
      <c r="K24" s="63"/>
      <c r="L24" s="61"/>
      <c r="M24" s="30"/>
      <c r="N24" s="34" t="s">
        <v>220</v>
      </c>
      <c r="O24" s="34">
        <v>2</v>
      </c>
      <c r="P24" s="176"/>
    </row>
    <row r="25" spans="1:16" s="29" customFormat="1" x14ac:dyDescent="0.2">
      <c r="A25" s="66" t="s">
        <v>134</v>
      </c>
      <c r="B25" s="174" t="s">
        <v>330</v>
      </c>
      <c r="C25" s="162"/>
      <c r="D25" s="177">
        <v>2</v>
      </c>
      <c r="E25" s="61"/>
      <c r="F25" s="61"/>
      <c r="G25" s="61"/>
      <c r="H25" s="61"/>
      <c r="I25" s="61"/>
      <c r="J25" s="61"/>
      <c r="K25" s="62">
        <v>5</v>
      </c>
      <c r="L25" s="62">
        <v>2</v>
      </c>
      <c r="M25" s="30"/>
      <c r="N25" s="30"/>
      <c r="O25" s="30"/>
      <c r="P25" s="176"/>
    </row>
    <row r="26" spans="1:16" s="29" customFormat="1" x14ac:dyDescent="0.2">
      <c r="A26" s="66" t="s">
        <v>92</v>
      </c>
      <c r="B26" s="174" t="s">
        <v>331</v>
      </c>
      <c r="C26" s="162"/>
      <c r="D26" s="175"/>
      <c r="E26" s="61"/>
      <c r="F26" s="61"/>
      <c r="G26" s="61"/>
      <c r="H26" s="61"/>
      <c r="I26" s="61"/>
      <c r="J26" s="61"/>
      <c r="K26" s="61"/>
      <c r="L26" s="62">
        <v>3</v>
      </c>
      <c r="M26" s="34">
        <v>3</v>
      </c>
      <c r="N26" s="30"/>
      <c r="O26" s="31"/>
      <c r="P26" s="176" t="s">
        <v>323</v>
      </c>
    </row>
    <row r="27" spans="1:16" s="29" customFormat="1" x14ac:dyDescent="0.2">
      <c r="A27" s="66" t="s">
        <v>93</v>
      </c>
      <c r="B27" s="174" t="s">
        <v>331</v>
      </c>
      <c r="C27" s="162"/>
      <c r="D27" s="175"/>
      <c r="E27" s="61"/>
      <c r="F27" s="61"/>
      <c r="G27" s="61"/>
      <c r="H27" s="61"/>
      <c r="I27" s="62">
        <v>5</v>
      </c>
      <c r="J27" s="61"/>
      <c r="K27" s="61"/>
      <c r="L27" s="61"/>
      <c r="M27" s="30"/>
      <c r="N27" s="30"/>
      <c r="O27" s="30"/>
      <c r="P27" s="176"/>
    </row>
    <row r="28" spans="1:16" s="29" customFormat="1" x14ac:dyDescent="0.2">
      <c r="A28" s="66" t="s">
        <v>94</v>
      </c>
      <c r="B28" s="174" t="s">
        <v>223</v>
      </c>
      <c r="C28" s="162"/>
      <c r="D28" s="177" t="s">
        <v>224</v>
      </c>
      <c r="E28" s="61"/>
      <c r="F28" s="61"/>
      <c r="G28" s="61"/>
      <c r="H28" s="61"/>
      <c r="I28" s="61"/>
      <c r="J28" s="61"/>
      <c r="K28" s="61"/>
      <c r="L28" s="61"/>
      <c r="M28" s="34">
        <v>7</v>
      </c>
      <c r="N28" s="30"/>
      <c r="O28" s="30"/>
      <c r="P28" s="176" t="s">
        <v>323</v>
      </c>
    </row>
    <row r="29" spans="1:16" s="29" customFormat="1" x14ac:dyDescent="0.2">
      <c r="A29" s="66" t="s">
        <v>95</v>
      </c>
      <c r="B29" s="174" t="s">
        <v>330</v>
      </c>
      <c r="C29" s="162"/>
      <c r="D29" s="175"/>
      <c r="E29" s="61"/>
      <c r="F29" s="61"/>
      <c r="G29" s="61"/>
      <c r="H29" s="61"/>
      <c r="I29" s="61"/>
      <c r="J29" s="61"/>
      <c r="K29" s="61"/>
      <c r="L29" s="61"/>
      <c r="M29" s="34" t="s">
        <v>357</v>
      </c>
      <c r="N29" s="34">
        <v>4</v>
      </c>
      <c r="O29" s="30"/>
      <c r="P29" s="176"/>
    </row>
    <row r="30" spans="1:16" s="29" customFormat="1" x14ac:dyDescent="0.2">
      <c r="A30" s="66" t="s">
        <v>96</v>
      </c>
      <c r="B30" s="174" t="s">
        <v>331</v>
      </c>
      <c r="C30" s="162"/>
      <c r="D30" s="177">
        <v>3</v>
      </c>
      <c r="E30" s="61"/>
      <c r="F30" s="61"/>
      <c r="G30" s="61"/>
      <c r="H30" s="61"/>
      <c r="I30" s="61"/>
      <c r="J30" s="61"/>
      <c r="K30" s="62" t="s">
        <v>357</v>
      </c>
      <c r="L30" s="61"/>
      <c r="M30" s="30"/>
      <c r="N30" s="30"/>
      <c r="O30" s="30"/>
      <c r="P30" s="176"/>
    </row>
    <row r="31" spans="1:16" s="29" customFormat="1" x14ac:dyDescent="0.2">
      <c r="A31" s="66" t="s">
        <v>97</v>
      </c>
      <c r="B31" s="174" t="s">
        <v>331</v>
      </c>
      <c r="C31" s="162"/>
      <c r="D31" s="177" t="s">
        <v>219</v>
      </c>
      <c r="E31" s="61"/>
      <c r="F31" s="61"/>
      <c r="G31" s="61"/>
      <c r="H31" s="61"/>
      <c r="I31" s="61"/>
      <c r="J31" s="61"/>
      <c r="K31" s="62">
        <v>3</v>
      </c>
      <c r="L31" s="62" t="s">
        <v>217</v>
      </c>
      <c r="M31" s="30"/>
      <c r="N31" s="30"/>
      <c r="O31" s="30"/>
      <c r="P31" s="176"/>
    </row>
    <row r="32" spans="1:16" s="29" customFormat="1" x14ac:dyDescent="0.2">
      <c r="A32" s="66" t="s">
        <v>98</v>
      </c>
      <c r="B32" s="174" t="s">
        <v>330</v>
      </c>
      <c r="C32" s="162"/>
      <c r="D32" s="177" t="s">
        <v>225</v>
      </c>
      <c r="E32" s="62">
        <v>2</v>
      </c>
      <c r="F32" s="31"/>
      <c r="G32" s="63"/>
      <c r="H32" s="62">
        <v>1</v>
      </c>
      <c r="I32" s="63"/>
      <c r="J32" s="63"/>
      <c r="K32" s="62" t="s">
        <v>175</v>
      </c>
      <c r="L32" s="62" t="s">
        <v>217</v>
      </c>
      <c r="M32" s="31"/>
      <c r="N32" s="34" t="s">
        <v>226</v>
      </c>
      <c r="O32" s="30"/>
      <c r="P32" s="176"/>
    </row>
    <row r="33" spans="1:16" s="29" customFormat="1" x14ac:dyDescent="0.2">
      <c r="A33" s="66" t="s">
        <v>99</v>
      </c>
      <c r="B33" s="174" t="s">
        <v>356</v>
      </c>
      <c r="C33" s="162"/>
      <c r="D33" s="175"/>
      <c r="E33" s="61"/>
      <c r="F33" s="63"/>
      <c r="G33" s="61"/>
      <c r="H33" s="61"/>
      <c r="I33" s="61"/>
      <c r="J33" s="61"/>
      <c r="K33" s="62" t="s">
        <v>359</v>
      </c>
      <c r="L33" s="63"/>
      <c r="M33" s="31"/>
      <c r="N33" s="34" t="s">
        <v>175</v>
      </c>
      <c r="O33" s="30"/>
      <c r="P33" s="176" t="s">
        <v>227</v>
      </c>
    </row>
    <row r="34" spans="1:16" s="29" customFormat="1" x14ac:dyDescent="0.2">
      <c r="A34" s="66" t="s">
        <v>100</v>
      </c>
      <c r="B34" s="174" t="s">
        <v>331</v>
      </c>
      <c r="C34" s="162"/>
      <c r="D34" s="177" t="s">
        <v>228</v>
      </c>
      <c r="E34" s="61"/>
      <c r="F34" s="34">
        <v>1</v>
      </c>
      <c r="G34" s="61"/>
      <c r="H34" s="61"/>
      <c r="I34" s="61"/>
      <c r="J34" s="61"/>
      <c r="K34" s="62">
        <v>3</v>
      </c>
      <c r="L34" s="34">
        <v>1</v>
      </c>
      <c r="M34" s="30"/>
      <c r="N34" s="30"/>
      <c r="O34" s="31"/>
      <c r="P34" s="176"/>
    </row>
    <row r="35" spans="1:16" s="29" customFormat="1" x14ac:dyDescent="0.2">
      <c r="A35" s="66" t="s">
        <v>262</v>
      </c>
      <c r="B35" s="174" t="s">
        <v>331</v>
      </c>
      <c r="C35" s="162"/>
      <c r="D35" s="177" t="s">
        <v>219</v>
      </c>
      <c r="E35" s="61"/>
      <c r="F35" s="61"/>
      <c r="G35" s="61"/>
      <c r="H35" s="61"/>
      <c r="I35" s="61"/>
      <c r="J35" s="62" t="s">
        <v>229</v>
      </c>
      <c r="K35" s="61"/>
      <c r="L35" s="62">
        <v>3</v>
      </c>
      <c r="M35" s="30"/>
      <c r="N35" s="30"/>
      <c r="O35" s="30"/>
      <c r="P35" s="176"/>
    </row>
    <row r="36" spans="1:16" s="29" customFormat="1" x14ac:dyDescent="0.2">
      <c r="A36" s="66" t="s">
        <v>101</v>
      </c>
      <c r="B36" s="174" t="s">
        <v>223</v>
      </c>
      <c r="C36" s="162"/>
      <c r="D36" s="177" t="s">
        <v>230</v>
      </c>
      <c r="E36" s="61"/>
      <c r="F36" s="63"/>
      <c r="G36" s="61"/>
      <c r="H36" s="61"/>
      <c r="I36" s="63"/>
      <c r="J36" s="62">
        <v>4</v>
      </c>
      <c r="K36" s="62">
        <v>2</v>
      </c>
      <c r="L36" s="61"/>
      <c r="M36" s="30"/>
      <c r="N36" s="30"/>
      <c r="O36" s="34">
        <v>2</v>
      </c>
      <c r="P36" s="176"/>
    </row>
    <row r="37" spans="1:16" s="29" customFormat="1" x14ac:dyDescent="0.2">
      <c r="A37" s="66" t="s">
        <v>102</v>
      </c>
      <c r="B37" s="174" t="s">
        <v>330</v>
      </c>
      <c r="C37" s="162"/>
      <c r="D37" s="177" t="s">
        <v>225</v>
      </c>
      <c r="E37" s="63"/>
      <c r="F37" s="63"/>
      <c r="G37" s="63"/>
      <c r="H37" s="63"/>
      <c r="I37" s="62">
        <v>2</v>
      </c>
      <c r="J37" s="63"/>
      <c r="K37" s="62" t="s">
        <v>443</v>
      </c>
      <c r="L37" s="62">
        <v>2</v>
      </c>
      <c r="M37" s="34">
        <v>1</v>
      </c>
      <c r="N37" s="31"/>
      <c r="O37" s="31"/>
      <c r="P37" s="176"/>
    </row>
    <row r="38" spans="1:16" ht="11.25" customHeight="1" x14ac:dyDescent="0.2">
      <c r="A38" s="66" t="s">
        <v>328</v>
      </c>
      <c r="B38" s="174" t="s">
        <v>343</v>
      </c>
      <c r="C38" s="162"/>
      <c r="D38" s="177">
        <v>1</v>
      </c>
      <c r="E38" s="63"/>
      <c r="F38" s="62" t="s">
        <v>362</v>
      </c>
      <c r="G38" s="63"/>
      <c r="H38" s="63"/>
      <c r="I38" s="63"/>
      <c r="J38" s="63"/>
      <c r="K38" s="63"/>
      <c r="L38" s="61"/>
      <c r="M38" s="30"/>
      <c r="N38" s="30"/>
      <c r="O38" s="30"/>
      <c r="P38" s="176"/>
    </row>
    <row r="39" spans="1:16" ht="11.25" customHeight="1" x14ac:dyDescent="0.2">
      <c r="A39" s="66" t="s">
        <v>103</v>
      </c>
      <c r="B39" s="174" t="s">
        <v>331</v>
      </c>
      <c r="C39" s="164"/>
      <c r="D39" s="177" t="s">
        <v>220</v>
      </c>
      <c r="E39" s="63"/>
      <c r="F39" s="34">
        <v>1</v>
      </c>
      <c r="G39" s="63"/>
      <c r="H39" s="63"/>
      <c r="I39" s="63"/>
      <c r="J39" s="63"/>
      <c r="K39" s="62" t="s">
        <v>175</v>
      </c>
      <c r="L39" s="61"/>
      <c r="M39" s="30"/>
      <c r="N39" s="30"/>
      <c r="O39" s="30"/>
      <c r="P39" s="176"/>
    </row>
    <row r="40" spans="1:16" ht="11.25" customHeight="1" x14ac:dyDescent="0.2">
      <c r="A40" s="66" t="s">
        <v>329</v>
      </c>
      <c r="B40" s="174" t="s">
        <v>360</v>
      </c>
      <c r="C40" s="162"/>
      <c r="D40" s="175"/>
      <c r="E40" s="61"/>
      <c r="F40" s="62">
        <v>3</v>
      </c>
      <c r="G40" s="61"/>
      <c r="H40" s="63"/>
      <c r="I40" s="63"/>
      <c r="J40" s="61"/>
      <c r="K40" s="61"/>
      <c r="L40" s="62">
        <v>2</v>
      </c>
      <c r="M40" s="34" t="s">
        <v>217</v>
      </c>
      <c r="N40" s="30"/>
      <c r="O40" s="30"/>
      <c r="P40" s="176"/>
    </row>
    <row r="41" spans="1:16" ht="11.25" customHeight="1" x14ac:dyDescent="0.2">
      <c r="A41" s="66" t="s">
        <v>104</v>
      </c>
      <c r="B41" s="174" t="s">
        <v>330</v>
      </c>
      <c r="C41" s="162"/>
      <c r="D41" s="177" t="s">
        <v>362</v>
      </c>
      <c r="E41" s="63"/>
      <c r="F41" s="62">
        <v>1</v>
      </c>
      <c r="G41" s="63"/>
      <c r="H41" s="63"/>
      <c r="I41" s="63"/>
      <c r="J41" s="63"/>
      <c r="K41" s="63"/>
      <c r="L41" s="63"/>
      <c r="M41" s="34" t="s">
        <v>231</v>
      </c>
      <c r="N41" s="30"/>
      <c r="O41" s="30"/>
      <c r="P41" s="176"/>
    </row>
    <row r="42" spans="1:16" ht="11.25" customHeight="1" x14ac:dyDescent="0.2">
      <c r="A42" s="66" t="s">
        <v>260</v>
      </c>
      <c r="B42" s="174" t="s">
        <v>125</v>
      </c>
      <c r="C42" s="162"/>
      <c r="D42" s="175"/>
      <c r="E42" s="61"/>
      <c r="F42" s="61"/>
      <c r="G42" s="61"/>
      <c r="H42" s="61"/>
      <c r="I42" s="61"/>
      <c r="J42" s="61"/>
      <c r="K42" s="61"/>
      <c r="L42" s="61"/>
      <c r="M42" s="30"/>
      <c r="N42" s="30"/>
      <c r="O42" s="30"/>
      <c r="P42" s="176"/>
    </row>
    <row r="43" spans="1:16" ht="11.25" customHeight="1" x14ac:dyDescent="0.2">
      <c r="A43" s="66" t="s">
        <v>326</v>
      </c>
      <c r="B43" s="174" t="s">
        <v>330</v>
      </c>
      <c r="C43" s="162"/>
      <c r="D43" s="175"/>
      <c r="E43" s="61"/>
      <c r="F43" s="61"/>
      <c r="G43" s="61"/>
      <c r="H43" s="61"/>
      <c r="I43" s="62">
        <v>1</v>
      </c>
      <c r="J43" s="61"/>
      <c r="K43" s="61"/>
      <c r="L43" s="61"/>
      <c r="M43" s="30"/>
      <c r="N43" s="34">
        <v>1</v>
      </c>
      <c r="O43" s="34">
        <v>2</v>
      </c>
      <c r="P43" s="176"/>
    </row>
    <row r="44" spans="1:16" ht="11.25" customHeight="1" x14ac:dyDescent="0.2">
      <c r="A44" s="66" t="s">
        <v>327</v>
      </c>
      <c r="B44" s="174" t="s">
        <v>332</v>
      </c>
      <c r="C44" s="162" t="s">
        <v>112</v>
      </c>
      <c r="D44" s="178"/>
      <c r="E44" s="63"/>
      <c r="F44" s="63"/>
      <c r="G44" s="63"/>
      <c r="H44" s="63"/>
      <c r="I44" s="62">
        <v>1</v>
      </c>
      <c r="J44" s="63"/>
      <c r="K44" s="63"/>
      <c r="L44" s="61"/>
      <c r="M44" s="34">
        <v>1</v>
      </c>
      <c r="N44" s="34" t="s">
        <v>222</v>
      </c>
      <c r="O44" s="30"/>
      <c r="P44" s="176"/>
    </row>
    <row r="45" spans="1:16" ht="11.25" customHeight="1" x14ac:dyDescent="0.2">
      <c r="A45" s="66" t="s">
        <v>105</v>
      </c>
      <c r="B45" s="174" t="s">
        <v>331</v>
      </c>
      <c r="C45" s="162" t="s">
        <v>112</v>
      </c>
      <c r="D45" s="175"/>
      <c r="E45" s="61"/>
      <c r="F45" s="61"/>
      <c r="G45" s="61"/>
      <c r="H45" s="61"/>
      <c r="I45" s="61"/>
      <c r="J45" s="62">
        <v>3</v>
      </c>
      <c r="K45" s="61"/>
      <c r="L45" s="61"/>
      <c r="M45" s="30"/>
      <c r="N45" s="30"/>
      <c r="O45" s="34">
        <v>3</v>
      </c>
      <c r="P45" s="176" t="s">
        <v>323</v>
      </c>
    </row>
    <row r="46" spans="1:16" ht="11.25" customHeight="1" x14ac:dyDescent="0.2">
      <c r="A46" s="66" t="s">
        <v>106</v>
      </c>
      <c r="B46" s="174" t="s">
        <v>223</v>
      </c>
      <c r="C46" s="162"/>
      <c r="D46" s="175"/>
      <c r="E46" s="62">
        <v>2</v>
      </c>
      <c r="F46" s="61"/>
      <c r="G46" s="61"/>
      <c r="H46" s="61"/>
      <c r="I46" s="63"/>
      <c r="J46" s="61"/>
      <c r="K46" s="61"/>
      <c r="L46" s="61"/>
      <c r="M46" s="30"/>
      <c r="N46" s="34">
        <v>2</v>
      </c>
      <c r="O46" s="34">
        <v>2</v>
      </c>
      <c r="P46" s="176" t="s">
        <v>232</v>
      </c>
    </row>
    <row r="47" spans="1:16" ht="11.25" customHeight="1" x14ac:dyDescent="0.2">
      <c r="A47" s="66" t="s">
        <v>107</v>
      </c>
      <c r="B47" s="174" t="s">
        <v>330</v>
      </c>
      <c r="C47" s="162"/>
      <c r="D47" s="177">
        <v>7</v>
      </c>
      <c r="E47" s="63"/>
      <c r="F47" s="63"/>
      <c r="G47" s="63"/>
      <c r="H47" s="63"/>
      <c r="I47" s="63"/>
      <c r="J47" s="63"/>
      <c r="K47" s="63"/>
      <c r="L47" s="63"/>
      <c r="M47" s="31"/>
      <c r="N47" s="34" t="s">
        <v>362</v>
      </c>
      <c r="O47" s="34">
        <v>2</v>
      </c>
      <c r="P47" s="176"/>
    </row>
    <row r="48" spans="1:16" ht="11.25" customHeight="1" x14ac:dyDescent="0.2">
      <c r="A48" s="66" t="s">
        <v>108</v>
      </c>
      <c r="B48" s="174" t="s">
        <v>330</v>
      </c>
      <c r="C48" s="162"/>
      <c r="D48" s="179"/>
      <c r="E48" s="62" t="s">
        <v>362</v>
      </c>
      <c r="F48" s="63"/>
      <c r="G48" s="62" t="s">
        <v>228</v>
      </c>
      <c r="H48" s="63"/>
      <c r="I48" s="34">
        <v>3</v>
      </c>
      <c r="J48" s="63"/>
      <c r="K48" s="63"/>
      <c r="L48" s="34" t="s">
        <v>231</v>
      </c>
      <c r="M48" s="31"/>
      <c r="N48" s="34">
        <v>3</v>
      </c>
      <c r="O48" s="30"/>
      <c r="P48" s="176"/>
    </row>
    <row r="49" spans="1:16" ht="11.25" customHeight="1" x14ac:dyDescent="0.2">
      <c r="A49" s="66" t="s">
        <v>365</v>
      </c>
      <c r="B49" s="174" t="s">
        <v>344</v>
      </c>
      <c r="C49" s="163"/>
      <c r="D49" s="177">
        <v>3</v>
      </c>
      <c r="E49" s="61"/>
      <c r="F49" s="62">
        <v>3</v>
      </c>
      <c r="G49" s="61"/>
      <c r="H49" s="61"/>
      <c r="I49" s="63"/>
      <c r="J49" s="63"/>
      <c r="K49" s="62">
        <v>3</v>
      </c>
      <c r="L49" s="63"/>
      <c r="M49" s="31"/>
      <c r="N49" s="31"/>
      <c r="O49" s="31"/>
      <c r="P49" s="176"/>
    </row>
    <row r="50" spans="1:16" ht="11.25" customHeight="1" x14ac:dyDescent="0.2">
      <c r="A50" s="66" t="s">
        <v>366</v>
      </c>
      <c r="B50" s="174" t="s">
        <v>330</v>
      </c>
      <c r="C50" s="163"/>
      <c r="D50" s="175"/>
      <c r="E50" s="61"/>
      <c r="F50" s="61"/>
      <c r="G50" s="61"/>
      <c r="H50" s="61"/>
      <c r="I50" s="63"/>
      <c r="J50" s="63"/>
      <c r="K50" s="62" t="s">
        <v>233</v>
      </c>
      <c r="L50" s="63"/>
      <c r="M50" s="31"/>
      <c r="N50" s="31"/>
      <c r="O50" s="31"/>
      <c r="P50" s="176"/>
    </row>
    <row r="51" spans="1:16" ht="11.25" customHeight="1" x14ac:dyDescent="0.2">
      <c r="A51" s="66" t="s">
        <v>109</v>
      </c>
      <c r="B51" s="174" t="s">
        <v>331</v>
      </c>
      <c r="C51" s="162" t="s">
        <v>112</v>
      </c>
      <c r="D51" s="175"/>
      <c r="E51" s="61"/>
      <c r="F51" s="61"/>
      <c r="G51" s="61"/>
      <c r="H51" s="61"/>
      <c r="I51" s="61"/>
      <c r="J51" s="62">
        <v>3</v>
      </c>
      <c r="K51" s="61"/>
      <c r="L51" s="61"/>
      <c r="M51" s="30"/>
      <c r="N51" s="30"/>
      <c r="O51" s="34" t="s">
        <v>217</v>
      </c>
      <c r="P51" s="176"/>
    </row>
    <row r="52" spans="1:16" ht="11.25" customHeight="1" x14ac:dyDescent="0.2">
      <c r="A52" s="66" t="s">
        <v>51</v>
      </c>
      <c r="B52" s="174" t="s">
        <v>331</v>
      </c>
      <c r="C52" s="162" t="s">
        <v>112</v>
      </c>
      <c r="D52" s="177">
        <v>1</v>
      </c>
      <c r="E52" s="63"/>
      <c r="F52" s="62">
        <v>1</v>
      </c>
      <c r="G52" s="63"/>
      <c r="H52" s="63"/>
      <c r="I52" s="63"/>
      <c r="J52" s="63"/>
      <c r="K52" s="62">
        <v>2</v>
      </c>
      <c r="L52" s="63"/>
      <c r="M52" s="34" t="s">
        <v>359</v>
      </c>
      <c r="N52" s="34">
        <v>1</v>
      </c>
      <c r="O52" s="30"/>
      <c r="P52" s="176"/>
    </row>
    <row r="53" spans="1:16" ht="11.25" customHeight="1" x14ac:dyDescent="0.2">
      <c r="A53" s="66" t="s">
        <v>110</v>
      </c>
      <c r="B53" s="174" t="s">
        <v>344</v>
      </c>
      <c r="C53" s="162"/>
      <c r="D53" s="177">
        <v>5</v>
      </c>
      <c r="E53" s="61"/>
      <c r="F53" s="61"/>
      <c r="G53" s="61"/>
      <c r="H53" s="61"/>
      <c r="I53" s="61"/>
      <c r="J53" s="63"/>
      <c r="K53" s="61"/>
      <c r="L53" s="61"/>
      <c r="M53" s="30"/>
      <c r="N53" s="30"/>
      <c r="O53" s="30"/>
      <c r="P53" s="176"/>
    </row>
    <row r="54" spans="1:16" ht="11.25" customHeight="1" x14ac:dyDescent="0.2">
      <c r="A54" s="66" t="s">
        <v>117</v>
      </c>
      <c r="B54" s="174" t="s">
        <v>331</v>
      </c>
      <c r="C54" s="162"/>
      <c r="D54" s="175"/>
      <c r="E54" s="61"/>
      <c r="F54" s="62">
        <v>3</v>
      </c>
      <c r="G54" s="63"/>
      <c r="H54" s="63"/>
      <c r="I54" s="63"/>
      <c r="J54" s="63"/>
      <c r="K54" s="63"/>
      <c r="L54" s="63"/>
      <c r="M54" s="34">
        <v>3</v>
      </c>
      <c r="N54" s="34" t="s">
        <v>444</v>
      </c>
      <c r="O54" s="30"/>
      <c r="P54" s="176"/>
    </row>
    <row r="55" spans="1:16" ht="11.25" customHeight="1" x14ac:dyDescent="0.2">
      <c r="A55" s="66" t="s">
        <v>111</v>
      </c>
      <c r="B55" s="174" t="s">
        <v>330</v>
      </c>
      <c r="C55" s="162"/>
      <c r="D55" s="177">
        <v>2</v>
      </c>
      <c r="E55" s="61"/>
      <c r="F55" s="61"/>
      <c r="G55" s="61"/>
      <c r="H55" s="61"/>
      <c r="I55" s="63"/>
      <c r="J55" s="61"/>
      <c r="K55" s="62">
        <v>2</v>
      </c>
      <c r="L55" s="61"/>
      <c r="M55" s="30"/>
      <c r="N55" s="30"/>
      <c r="O55" s="34">
        <v>2</v>
      </c>
      <c r="P55" s="176"/>
    </row>
    <row r="56" spans="1:16" ht="11.25" customHeight="1" x14ac:dyDescent="0.2">
      <c r="A56" s="66" t="s">
        <v>128</v>
      </c>
      <c r="B56" s="174" t="s">
        <v>330</v>
      </c>
      <c r="C56" s="162"/>
      <c r="D56" s="177">
        <v>2</v>
      </c>
      <c r="E56" s="61"/>
      <c r="F56" s="61"/>
      <c r="G56" s="61"/>
      <c r="H56" s="61"/>
      <c r="I56" s="61"/>
      <c r="J56" s="61"/>
      <c r="K56" s="62">
        <v>2</v>
      </c>
      <c r="L56" s="61"/>
      <c r="M56" s="30"/>
      <c r="N56" s="30"/>
      <c r="O56" s="30"/>
      <c r="P56" s="176"/>
    </row>
    <row r="57" spans="1:16" ht="11.25" customHeight="1" x14ac:dyDescent="0.2">
      <c r="A57" s="66" t="s">
        <v>129</v>
      </c>
      <c r="B57" s="174" t="s">
        <v>344</v>
      </c>
      <c r="C57" s="162"/>
      <c r="D57" s="177" t="s">
        <v>234</v>
      </c>
      <c r="E57" s="63"/>
      <c r="F57" s="63"/>
      <c r="G57" s="63"/>
      <c r="H57" s="63"/>
      <c r="I57" s="62">
        <v>2</v>
      </c>
      <c r="J57" s="63"/>
      <c r="K57" s="62" t="s">
        <v>444</v>
      </c>
      <c r="L57" s="62" t="s">
        <v>235</v>
      </c>
      <c r="M57" s="34">
        <v>5</v>
      </c>
      <c r="N57" s="34">
        <v>1</v>
      </c>
      <c r="O57" s="30"/>
      <c r="P57" s="176"/>
    </row>
    <row r="58" spans="1:16" ht="11.25" customHeight="1" x14ac:dyDescent="0.2">
      <c r="A58" s="66" t="s">
        <v>130</v>
      </c>
      <c r="B58" s="174" t="s">
        <v>331</v>
      </c>
      <c r="C58" s="162"/>
      <c r="D58" s="177">
        <v>2</v>
      </c>
      <c r="E58" s="61"/>
      <c r="F58" s="61"/>
      <c r="G58" s="61"/>
      <c r="H58" s="61"/>
      <c r="I58" s="61"/>
      <c r="J58" s="61"/>
      <c r="K58" s="61"/>
      <c r="L58" s="61"/>
      <c r="M58" s="30"/>
      <c r="N58" s="30"/>
      <c r="O58" s="31"/>
      <c r="P58" s="176" t="s">
        <v>323</v>
      </c>
    </row>
    <row r="59" spans="1:16" ht="11.25" customHeight="1" x14ac:dyDescent="0.2">
      <c r="A59" s="66" t="s">
        <v>119</v>
      </c>
      <c r="B59" s="174" t="s">
        <v>331</v>
      </c>
      <c r="C59" s="162"/>
      <c r="D59" s="178"/>
      <c r="E59" s="63"/>
      <c r="F59" s="63"/>
      <c r="G59" s="63"/>
      <c r="H59" s="63"/>
      <c r="I59" s="63"/>
      <c r="J59" s="63"/>
      <c r="K59" s="63"/>
      <c r="L59" s="63"/>
      <c r="M59" s="30"/>
      <c r="N59" s="30"/>
      <c r="O59" s="30"/>
      <c r="P59" s="176" t="s">
        <v>323</v>
      </c>
    </row>
    <row r="60" spans="1:16" ht="11.25" customHeight="1" x14ac:dyDescent="0.2">
      <c r="A60" s="66" t="s">
        <v>120</v>
      </c>
      <c r="B60" s="174" t="s">
        <v>331</v>
      </c>
      <c r="C60" s="162"/>
      <c r="D60" s="178"/>
      <c r="E60" s="63"/>
      <c r="F60" s="63"/>
      <c r="G60" s="63"/>
      <c r="H60" s="63"/>
      <c r="I60" s="63"/>
      <c r="J60" s="63"/>
      <c r="K60" s="63"/>
      <c r="L60" s="63"/>
      <c r="M60" s="30"/>
      <c r="N60" s="30"/>
      <c r="O60" s="30"/>
      <c r="P60" s="176" t="s">
        <v>323</v>
      </c>
    </row>
    <row r="61" spans="1:16" ht="11.25" customHeight="1" x14ac:dyDescent="0.2">
      <c r="A61" s="66" t="s">
        <v>121</v>
      </c>
      <c r="B61" s="174" t="s">
        <v>331</v>
      </c>
      <c r="C61" s="162"/>
      <c r="D61" s="177" t="s">
        <v>219</v>
      </c>
      <c r="E61" s="61"/>
      <c r="F61" s="61"/>
      <c r="G61" s="61"/>
      <c r="H61" s="61"/>
      <c r="I61" s="61"/>
      <c r="J61" s="61"/>
      <c r="K61" s="63"/>
      <c r="L61" s="62">
        <v>2</v>
      </c>
      <c r="M61" s="34">
        <v>2</v>
      </c>
      <c r="N61" s="30"/>
      <c r="O61" s="30"/>
      <c r="P61" s="176"/>
    </row>
    <row r="62" spans="1:16" ht="11.25" customHeight="1" x14ac:dyDescent="0.2">
      <c r="A62" s="66" t="s">
        <v>135</v>
      </c>
      <c r="B62" s="174" t="s">
        <v>344</v>
      </c>
      <c r="C62" s="162"/>
      <c r="D62" s="177">
        <v>2</v>
      </c>
      <c r="E62" s="61"/>
      <c r="F62" s="61"/>
      <c r="G62" s="61"/>
      <c r="H62" s="61"/>
      <c r="I62" s="61"/>
      <c r="J62" s="61"/>
      <c r="K62" s="62" t="s">
        <v>236</v>
      </c>
      <c r="L62" s="61"/>
      <c r="M62" s="30"/>
      <c r="N62" s="30"/>
      <c r="O62" s="31"/>
      <c r="P62" s="176"/>
    </row>
    <row r="63" spans="1:16" ht="11.25" customHeight="1" x14ac:dyDescent="0.2">
      <c r="A63" s="66" t="s">
        <v>136</v>
      </c>
      <c r="B63" s="174" t="s">
        <v>331</v>
      </c>
      <c r="C63" s="162"/>
      <c r="D63" s="177" t="s">
        <v>235</v>
      </c>
      <c r="E63" s="63"/>
      <c r="F63" s="63"/>
      <c r="G63" s="63"/>
      <c r="H63" s="63"/>
      <c r="I63" s="63"/>
      <c r="J63" s="63"/>
      <c r="K63" s="63"/>
      <c r="L63" s="61"/>
      <c r="M63" s="30"/>
      <c r="N63" s="30"/>
      <c r="O63" s="31"/>
      <c r="P63" s="176"/>
    </row>
    <row r="64" spans="1:16" ht="11.25" customHeight="1" x14ac:dyDescent="0.2">
      <c r="A64" s="66" t="s">
        <v>318</v>
      </c>
      <c r="B64" s="174" t="s">
        <v>360</v>
      </c>
      <c r="C64" s="162"/>
      <c r="D64" s="177" t="s">
        <v>359</v>
      </c>
      <c r="E64" s="61"/>
      <c r="F64" s="61"/>
      <c r="G64" s="61"/>
      <c r="H64" s="61"/>
      <c r="I64" s="61"/>
      <c r="J64" s="61"/>
      <c r="K64" s="62">
        <v>2</v>
      </c>
      <c r="L64" s="62">
        <v>3</v>
      </c>
      <c r="M64" s="30"/>
      <c r="N64" s="34">
        <v>3</v>
      </c>
      <c r="O64" s="30"/>
      <c r="P64" s="176"/>
    </row>
    <row r="65" spans="1:16" ht="11.25" customHeight="1" x14ac:dyDescent="0.2">
      <c r="A65" s="66" t="s">
        <v>319</v>
      </c>
      <c r="B65" s="174" t="s">
        <v>330</v>
      </c>
      <c r="C65" s="162"/>
      <c r="D65" s="177">
        <v>3</v>
      </c>
      <c r="E65" s="61"/>
      <c r="F65" s="61"/>
      <c r="G65" s="61"/>
      <c r="H65" s="61"/>
      <c r="I65" s="62" t="s">
        <v>442</v>
      </c>
      <c r="J65" s="61"/>
      <c r="K65" s="61"/>
      <c r="L65" s="61"/>
      <c r="M65" s="30"/>
      <c r="N65" s="30"/>
      <c r="O65" s="31"/>
      <c r="P65" s="176"/>
    </row>
    <row r="66" spans="1:16" ht="11.25" customHeight="1" x14ac:dyDescent="0.2">
      <c r="A66" s="66" t="s">
        <v>131</v>
      </c>
      <c r="B66" s="174" t="s">
        <v>330</v>
      </c>
      <c r="C66" s="162"/>
      <c r="D66" s="177">
        <v>3</v>
      </c>
      <c r="E66" s="61"/>
      <c r="F66" s="61"/>
      <c r="G66" s="61"/>
      <c r="H66" s="61"/>
      <c r="I66" s="62" t="s">
        <v>215</v>
      </c>
      <c r="J66" s="61"/>
      <c r="K66" s="61"/>
      <c r="L66" s="61"/>
      <c r="M66" s="30"/>
      <c r="N66" s="34">
        <v>3</v>
      </c>
      <c r="O66" s="31"/>
      <c r="P66" s="176"/>
    </row>
    <row r="67" spans="1:16" ht="11.25" customHeight="1" x14ac:dyDescent="0.2">
      <c r="A67" s="66" t="s">
        <v>301</v>
      </c>
      <c r="B67" s="174" t="s">
        <v>345</v>
      </c>
      <c r="C67" s="162"/>
      <c r="D67" s="178"/>
      <c r="E67" s="61"/>
      <c r="F67" s="61"/>
      <c r="G67" s="61"/>
      <c r="H67" s="61"/>
      <c r="I67" s="61"/>
      <c r="J67" s="62">
        <v>4</v>
      </c>
      <c r="K67" s="61"/>
      <c r="L67" s="61"/>
      <c r="M67" s="30"/>
      <c r="N67" s="30"/>
      <c r="O67" s="30"/>
      <c r="P67" s="180"/>
    </row>
    <row r="68" spans="1:16" ht="11.25" customHeight="1" x14ac:dyDescent="0.2">
      <c r="A68" s="66" t="s">
        <v>367</v>
      </c>
      <c r="B68" s="174" t="s">
        <v>330</v>
      </c>
      <c r="C68" s="163"/>
      <c r="D68" s="177" t="s">
        <v>441</v>
      </c>
      <c r="E68" s="61"/>
      <c r="F68" s="61"/>
      <c r="G68" s="62">
        <v>7</v>
      </c>
      <c r="H68" s="61"/>
      <c r="I68" s="62">
        <v>5</v>
      </c>
      <c r="J68" s="63"/>
      <c r="K68" s="62" t="s">
        <v>441</v>
      </c>
      <c r="L68" s="63"/>
      <c r="M68" s="31"/>
      <c r="N68" s="31"/>
      <c r="O68" s="31"/>
      <c r="P68" s="176"/>
    </row>
    <row r="69" spans="1:16" ht="11.25" customHeight="1" x14ac:dyDescent="0.2">
      <c r="A69" s="66" t="s">
        <v>302</v>
      </c>
      <c r="B69" s="174" t="s">
        <v>331</v>
      </c>
      <c r="C69" s="162"/>
      <c r="D69" s="177">
        <v>2</v>
      </c>
      <c r="E69" s="61"/>
      <c r="F69" s="63"/>
      <c r="G69" s="61"/>
      <c r="H69" s="61"/>
      <c r="I69" s="62">
        <v>2</v>
      </c>
      <c r="J69" s="61"/>
      <c r="K69" s="61"/>
      <c r="L69" s="61"/>
      <c r="M69" s="31"/>
      <c r="N69" s="34">
        <v>4</v>
      </c>
      <c r="O69" s="31"/>
      <c r="P69" s="176"/>
    </row>
    <row r="70" spans="1:16" ht="11.25" customHeight="1" x14ac:dyDescent="0.2">
      <c r="A70" s="66" t="s">
        <v>320</v>
      </c>
      <c r="B70" s="174" t="s">
        <v>331</v>
      </c>
      <c r="C70" s="162"/>
      <c r="D70" s="177">
        <v>5</v>
      </c>
      <c r="E70" s="61"/>
      <c r="F70" s="61"/>
      <c r="G70" s="61"/>
      <c r="H70" s="61"/>
      <c r="I70" s="61"/>
      <c r="J70" s="61"/>
      <c r="K70" s="61"/>
      <c r="L70" s="61"/>
      <c r="M70" s="30"/>
      <c r="N70" s="34">
        <v>3</v>
      </c>
      <c r="O70" s="30"/>
      <c r="P70" s="176"/>
    </row>
    <row r="71" spans="1:16" ht="11.25" customHeight="1" x14ac:dyDescent="0.2">
      <c r="A71" s="66" t="s">
        <v>303</v>
      </c>
      <c r="B71" s="174" t="s">
        <v>331</v>
      </c>
      <c r="C71" s="162"/>
      <c r="D71" s="177">
        <v>5</v>
      </c>
      <c r="E71" s="61"/>
      <c r="F71" s="61"/>
      <c r="G71" s="61"/>
      <c r="H71" s="61"/>
      <c r="I71" s="61"/>
      <c r="J71" s="61"/>
      <c r="K71" s="61"/>
      <c r="L71" s="62">
        <v>2</v>
      </c>
      <c r="M71" s="30"/>
      <c r="N71" s="30"/>
      <c r="O71" s="30"/>
      <c r="P71" s="176"/>
    </row>
    <row r="72" spans="1:16" ht="11.25" customHeight="1" x14ac:dyDescent="0.2">
      <c r="A72" s="66" t="s">
        <v>304</v>
      </c>
      <c r="B72" s="174" t="s">
        <v>330</v>
      </c>
      <c r="C72" s="162"/>
      <c r="D72" s="178"/>
      <c r="E72" s="61"/>
      <c r="F72" s="62">
        <v>5</v>
      </c>
      <c r="G72" s="61"/>
      <c r="H72" s="61"/>
      <c r="I72" s="61"/>
      <c r="J72" s="61"/>
      <c r="K72" s="61"/>
      <c r="L72" s="61"/>
      <c r="M72" s="34">
        <v>3</v>
      </c>
      <c r="N72" s="30"/>
      <c r="O72" s="30"/>
      <c r="P72" s="176"/>
    </row>
    <row r="73" spans="1:16" ht="11.25" customHeight="1" x14ac:dyDescent="0.2">
      <c r="A73" s="66" t="s">
        <v>306</v>
      </c>
      <c r="B73" s="174" t="s">
        <v>223</v>
      </c>
      <c r="C73" s="162"/>
      <c r="D73" s="178"/>
      <c r="E73" s="61"/>
      <c r="F73" s="61"/>
      <c r="G73" s="61"/>
      <c r="H73" s="61"/>
      <c r="I73" s="62" t="s">
        <v>215</v>
      </c>
      <c r="J73" s="61"/>
      <c r="K73" s="61"/>
      <c r="L73" s="62" t="s">
        <v>215</v>
      </c>
      <c r="M73" s="30"/>
      <c r="N73" s="30"/>
      <c r="O73" s="30"/>
      <c r="P73" s="176"/>
    </row>
    <row r="74" spans="1:16" ht="11.25" customHeight="1" x14ac:dyDescent="0.2">
      <c r="A74" s="66" t="s">
        <v>305</v>
      </c>
      <c r="B74" s="174" t="s">
        <v>330</v>
      </c>
      <c r="C74" s="162"/>
      <c r="D74" s="178"/>
      <c r="E74" s="61"/>
      <c r="F74" s="61"/>
      <c r="G74" s="61"/>
      <c r="H74" s="61"/>
      <c r="I74" s="61"/>
      <c r="J74" s="61"/>
      <c r="K74" s="61"/>
      <c r="L74" s="61"/>
      <c r="M74" s="30"/>
      <c r="N74" s="30"/>
      <c r="O74" s="30"/>
      <c r="P74" s="176" t="s">
        <v>237</v>
      </c>
    </row>
    <row r="75" spans="1:16" ht="11.25" customHeight="1" x14ac:dyDescent="0.2">
      <c r="A75" s="66" t="s">
        <v>368</v>
      </c>
      <c r="B75" s="174" t="s">
        <v>330</v>
      </c>
      <c r="C75" s="163"/>
      <c r="D75" s="177">
        <v>2</v>
      </c>
      <c r="E75" s="61"/>
      <c r="F75" s="62">
        <v>2</v>
      </c>
      <c r="G75" s="61"/>
      <c r="H75" s="62">
        <v>2</v>
      </c>
      <c r="I75" s="62">
        <v>2</v>
      </c>
      <c r="J75" s="62">
        <v>5</v>
      </c>
      <c r="K75" s="63"/>
      <c r="L75" s="62">
        <v>2</v>
      </c>
      <c r="M75" s="62">
        <v>2</v>
      </c>
      <c r="N75" s="31"/>
      <c r="O75" s="31"/>
      <c r="P75" s="176"/>
    </row>
    <row r="76" spans="1:16" ht="11.25" customHeight="1" x14ac:dyDescent="0.2">
      <c r="A76" s="66" t="s">
        <v>321</v>
      </c>
      <c r="B76" s="174" t="s">
        <v>223</v>
      </c>
      <c r="C76" s="162"/>
      <c r="D76" s="178"/>
      <c r="E76" s="61"/>
      <c r="F76" s="61"/>
      <c r="G76" s="61"/>
      <c r="H76" s="62" t="s">
        <v>230</v>
      </c>
      <c r="I76" s="61"/>
      <c r="J76" s="61"/>
      <c r="K76" s="61"/>
      <c r="L76" s="62">
        <v>2</v>
      </c>
      <c r="M76" s="30"/>
      <c r="N76" s="30"/>
      <c r="O76" s="31"/>
      <c r="P76" s="176"/>
    </row>
    <row r="77" spans="1:16" ht="11.25" customHeight="1" x14ac:dyDescent="0.2">
      <c r="A77" s="66" t="s">
        <v>369</v>
      </c>
      <c r="B77" s="174" t="s">
        <v>330</v>
      </c>
      <c r="C77" s="163"/>
      <c r="D77" s="177" t="s">
        <v>440</v>
      </c>
      <c r="E77" s="62">
        <v>3</v>
      </c>
      <c r="F77" s="61"/>
      <c r="G77" s="61"/>
      <c r="H77" s="61"/>
      <c r="I77" s="62" t="s">
        <v>238</v>
      </c>
      <c r="J77" s="63"/>
      <c r="K77" s="63"/>
      <c r="L77" s="62" t="s">
        <v>354</v>
      </c>
      <c r="M77" s="34" t="s">
        <v>353</v>
      </c>
      <c r="N77" s="31"/>
      <c r="O77" s="31"/>
      <c r="P77" s="176"/>
    </row>
    <row r="78" spans="1:16" ht="11.25" customHeight="1" x14ac:dyDescent="0.2">
      <c r="A78" s="66" t="s">
        <v>370</v>
      </c>
      <c r="B78" s="174" t="s">
        <v>330</v>
      </c>
      <c r="C78" s="162"/>
      <c r="D78" s="177">
        <v>6</v>
      </c>
      <c r="E78" s="62">
        <v>3</v>
      </c>
      <c r="F78" s="62">
        <v>2</v>
      </c>
      <c r="G78" s="61"/>
      <c r="H78" s="61"/>
      <c r="I78" s="62" t="s">
        <v>239</v>
      </c>
      <c r="J78" s="63"/>
      <c r="K78" s="63"/>
      <c r="L78" s="62">
        <v>3</v>
      </c>
      <c r="M78" s="34" t="s">
        <v>216</v>
      </c>
      <c r="N78" s="31"/>
      <c r="O78" s="31"/>
      <c r="P78" s="176"/>
    </row>
    <row r="79" spans="1:16" ht="11.25" customHeight="1" x14ac:dyDescent="0.2">
      <c r="A79" s="66" t="s">
        <v>206</v>
      </c>
      <c r="B79" s="174" t="s">
        <v>331</v>
      </c>
      <c r="C79" s="162"/>
      <c r="D79" s="177">
        <v>1</v>
      </c>
      <c r="E79" s="34">
        <v>1</v>
      </c>
      <c r="F79" s="63"/>
      <c r="G79" s="63"/>
      <c r="H79" s="63"/>
      <c r="I79" s="63"/>
      <c r="J79" s="63"/>
      <c r="K79" s="62">
        <v>1</v>
      </c>
      <c r="L79" s="63"/>
      <c r="M79" s="30"/>
      <c r="N79" s="30"/>
      <c r="O79" s="30"/>
      <c r="P79" s="176"/>
    </row>
    <row r="80" spans="1:16" ht="11.25" customHeight="1" x14ac:dyDescent="0.2">
      <c r="A80" s="66" t="s">
        <v>322</v>
      </c>
      <c r="B80" s="174" t="s">
        <v>240</v>
      </c>
      <c r="C80" s="163"/>
      <c r="D80" s="177" t="s">
        <v>362</v>
      </c>
      <c r="E80" s="61"/>
      <c r="F80" s="62" t="s">
        <v>362</v>
      </c>
      <c r="G80" s="62" t="s">
        <v>362</v>
      </c>
      <c r="H80" s="63"/>
      <c r="I80" s="62">
        <v>1</v>
      </c>
      <c r="J80" s="62">
        <v>3</v>
      </c>
      <c r="K80" s="63"/>
      <c r="L80" s="63"/>
      <c r="M80" s="34" t="s">
        <v>362</v>
      </c>
      <c r="N80" s="34" t="s">
        <v>362</v>
      </c>
      <c r="O80" s="34">
        <v>3</v>
      </c>
      <c r="P80" s="176" t="s">
        <v>323</v>
      </c>
    </row>
    <row r="81" spans="1:16" ht="11.25" customHeight="1" x14ac:dyDescent="0.2">
      <c r="A81" s="66" t="s">
        <v>371</v>
      </c>
      <c r="B81" s="174" t="s">
        <v>330</v>
      </c>
      <c r="C81" s="162"/>
      <c r="D81" s="175"/>
      <c r="E81" s="61"/>
      <c r="F81" s="61"/>
      <c r="G81" s="61"/>
      <c r="H81" s="61"/>
      <c r="I81" s="62">
        <v>5</v>
      </c>
      <c r="J81" s="63"/>
      <c r="K81" s="63"/>
      <c r="L81" s="63"/>
      <c r="M81" s="31"/>
      <c r="N81" s="31"/>
      <c r="O81" s="31"/>
      <c r="P81" s="176"/>
    </row>
    <row r="82" spans="1:16" ht="11.25" customHeight="1" x14ac:dyDescent="0.2">
      <c r="A82" s="66" t="s">
        <v>126</v>
      </c>
      <c r="B82" s="174" t="s">
        <v>223</v>
      </c>
      <c r="C82" s="162"/>
      <c r="D82" s="177">
        <v>3</v>
      </c>
      <c r="E82" s="61"/>
      <c r="F82" s="62" t="s">
        <v>357</v>
      </c>
      <c r="G82" s="61"/>
      <c r="H82" s="61"/>
      <c r="I82" s="62">
        <v>5</v>
      </c>
      <c r="J82" s="62">
        <v>3</v>
      </c>
      <c r="K82" s="62" t="s">
        <v>221</v>
      </c>
      <c r="L82" s="62" t="s">
        <v>357</v>
      </c>
      <c r="M82" s="34">
        <v>3</v>
      </c>
      <c r="N82" s="30"/>
      <c r="O82" s="30"/>
      <c r="P82" s="176"/>
    </row>
    <row r="83" spans="1:16" ht="11.25" customHeight="1" x14ac:dyDescent="0.2">
      <c r="A83" s="66" t="s">
        <v>149</v>
      </c>
      <c r="B83" s="174" t="s">
        <v>330</v>
      </c>
      <c r="C83" s="162"/>
      <c r="D83" s="177" t="s">
        <v>215</v>
      </c>
      <c r="E83" s="61"/>
      <c r="F83" s="62">
        <v>3</v>
      </c>
      <c r="G83" s="61"/>
      <c r="H83" s="61"/>
      <c r="I83" s="61"/>
      <c r="J83" s="61"/>
      <c r="K83" s="62">
        <v>5</v>
      </c>
      <c r="L83" s="62">
        <v>4</v>
      </c>
      <c r="M83" s="30"/>
      <c r="N83" s="30"/>
      <c r="O83" s="30"/>
      <c r="P83" s="176"/>
    </row>
    <row r="84" spans="1:16" ht="11.25" customHeight="1" x14ac:dyDescent="0.2">
      <c r="A84" s="66" t="s">
        <v>307</v>
      </c>
      <c r="B84" s="174" t="s">
        <v>330</v>
      </c>
      <c r="C84" s="162"/>
      <c r="D84" s="178"/>
      <c r="E84" s="63"/>
      <c r="F84" s="63"/>
      <c r="G84" s="63"/>
      <c r="H84" s="63"/>
      <c r="I84" s="63"/>
      <c r="J84" s="63"/>
      <c r="K84" s="63"/>
      <c r="L84" s="63"/>
      <c r="M84" s="31"/>
      <c r="N84" s="30"/>
      <c r="O84" s="30"/>
      <c r="P84" s="176"/>
    </row>
    <row r="85" spans="1:16" ht="11.25" customHeight="1" x14ac:dyDescent="0.2">
      <c r="A85" s="66" t="s">
        <v>150</v>
      </c>
      <c r="B85" s="174" t="s">
        <v>330</v>
      </c>
      <c r="C85" s="162"/>
      <c r="D85" s="177" t="s">
        <v>231</v>
      </c>
      <c r="E85" s="63"/>
      <c r="F85" s="62" t="s">
        <v>228</v>
      </c>
      <c r="G85" s="34">
        <v>1</v>
      </c>
      <c r="H85" s="63"/>
      <c r="I85" s="63"/>
      <c r="J85" s="63"/>
      <c r="K85" s="62" t="s">
        <v>231</v>
      </c>
      <c r="L85" s="62">
        <v>2</v>
      </c>
      <c r="M85" s="34">
        <v>2</v>
      </c>
      <c r="N85" s="30"/>
      <c r="O85" s="34">
        <v>2</v>
      </c>
      <c r="P85" s="176"/>
    </row>
    <row r="86" spans="1:16" ht="11.25" customHeight="1" x14ac:dyDescent="0.2">
      <c r="A86" s="66" t="s">
        <v>151</v>
      </c>
      <c r="B86" s="174" t="s">
        <v>330</v>
      </c>
      <c r="C86" s="162"/>
      <c r="D86" s="177" t="s">
        <v>215</v>
      </c>
      <c r="E86" s="61"/>
      <c r="F86" s="61"/>
      <c r="G86" s="61"/>
      <c r="H86" s="61"/>
      <c r="I86" s="62" t="s">
        <v>215</v>
      </c>
      <c r="J86" s="62">
        <v>3</v>
      </c>
      <c r="K86" s="62" t="s">
        <v>215</v>
      </c>
      <c r="L86" s="61"/>
      <c r="M86" s="30"/>
      <c r="N86" s="30"/>
      <c r="O86" s="34">
        <v>3</v>
      </c>
      <c r="P86" s="176"/>
    </row>
    <row r="87" spans="1:16" ht="11.25" customHeight="1" x14ac:dyDescent="0.2">
      <c r="A87" s="66" t="s">
        <v>152</v>
      </c>
      <c r="B87" s="174" t="s">
        <v>330</v>
      </c>
      <c r="C87" s="163"/>
      <c r="D87" s="175"/>
      <c r="E87" s="61"/>
      <c r="F87" s="61"/>
      <c r="G87" s="61"/>
      <c r="H87" s="61"/>
      <c r="I87" s="62" t="s">
        <v>215</v>
      </c>
      <c r="J87" s="62">
        <v>3</v>
      </c>
      <c r="K87" s="61"/>
      <c r="L87" s="61"/>
      <c r="M87" s="30"/>
      <c r="N87" s="30"/>
      <c r="O87" s="34">
        <v>3</v>
      </c>
      <c r="P87" s="176"/>
    </row>
    <row r="88" spans="1:16" ht="11.25" customHeight="1" x14ac:dyDescent="0.2">
      <c r="A88" s="66" t="s">
        <v>372</v>
      </c>
      <c r="B88" s="174" t="s">
        <v>330</v>
      </c>
      <c r="C88" s="162"/>
      <c r="D88" s="175"/>
      <c r="E88" s="61"/>
      <c r="F88" s="61"/>
      <c r="G88" s="61"/>
      <c r="H88" s="61"/>
      <c r="I88" s="63"/>
      <c r="J88" s="63"/>
      <c r="K88" s="62" t="s">
        <v>441</v>
      </c>
      <c r="L88" s="63"/>
      <c r="M88" s="34">
        <v>7</v>
      </c>
      <c r="N88" s="31"/>
      <c r="O88" s="31"/>
      <c r="P88" s="176"/>
    </row>
    <row r="89" spans="1:16" ht="11.25" customHeight="1" x14ac:dyDescent="0.2">
      <c r="A89" s="66" t="s">
        <v>153</v>
      </c>
      <c r="B89" s="174" t="s">
        <v>331</v>
      </c>
      <c r="C89" s="162"/>
      <c r="D89" s="177">
        <v>5</v>
      </c>
      <c r="E89" s="61"/>
      <c r="F89" s="63"/>
      <c r="G89" s="63"/>
      <c r="H89" s="63"/>
      <c r="I89" s="63"/>
      <c r="J89" s="63"/>
      <c r="K89" s="63"/>
      <c r="L89" s="62">
        <v>6</v>
      </c>
      <c r="M89" s="31"/>
      <c r="N89" s="30"/>
      <c r="O89" s="30"/>
      <c r="P89" s="176"/>
    </row>
    <row r="90" spans="1:16" ht="11.25" customHeight="1" x14ac:dyDescent="0.2">
      <c r="A90" s="66" t="s">
        <v>154</v>
      </c>
      <c r="B90" s="174" t="s">
        <v>331</v>
      </c>
      <c r="C90" s="162"/>
      <c r="D90" s="177">
        <v>5</v>
      </c>
      <c r="E90" s="61"/>
      <c r="F90" s="63"/>
      <c r="G90" s="63"/>
      <c r="H90" s="63"/>
      <c r="I90" s="63"/>
      <c r="J90" s="63"/>
      <c r="K90" s="63"/>
      <c r="L90" s="62">
        <v>6</v>
      </c>
      <c r="M90" s="31"/>
      <c r="N90" s="30"/>
      <c r="O90" s="30"/>
      <c r="P90" s="176"/>
    </row>
    <row r="91" spans="1:16" ht="11.25" customHeight="1" x14ac:dyDescent="0.2">
      <c r="A91" s="66" t="s">
        <v>127</v>
      </c>
      <c r="B91" s="174" t="s">
        <v>331</v>
      </c>
      <c r="C91" s="162"/>
      <c r="D91" s="177" t="s">
        <v>220</v>
      </c>
      <c r="E91" s="63"/>
      <c r="F91" s="63"/>
      <c r="G91" s="62">
        <v>3</v>
      </c>
      <c r="H91" s="63"/>
      <c r="I91" s="62">
        <v>3</v>
      </c>
      <c r="J91" s="62">
        <v>3</v>
      </c>
      <c r="K91" s="62">
        <v>3</v>
      </c>
      <c r="L91" s="62" t="s">
        <v>217</v>
      </c>
      <c r="M91" s="34">
        <v>2</v>
      </c>
      <c r="N91" s="30"/>
      <c r="O91" s="30"/>
      <c r="P91" s="176" t="s">
        <v>241</v>
      </c>
    </row>
    <row r="92" spans="1:16" ht="11.25" customHeight="1" x14ac:dyDescent="0.2">
      <c r="A92" s="66" t="s">
        <v>155</v>
      </c>
      <c r="B92" s="174" t="s">
        <v>344</v>
      </c>
      <c r="C92" s="162"/>
      <c r="D92" s="177">
        <v>3</v>
      </c>
      <c r="E92" s="63"/>
      <c r="F92" s="63"/>
      <c r="G92" s="63"/>
      <c r="H92" s="63"/>
      <c r="I92" s="63"/>
      <c r="J92" s="63"/>
      <c r="K92" s="62">
        <v>3</v>
      </c>
      <c r="L92" s="61"/>
      <c r="M92" s="30"/>
      <c r="N92" s="30"/>
      <c r="O92" s="34">
        <v>2</v>
      </c>
      <c r="P92" s="176"/>
    </row>
    <row r="93" spans="1:16" ht="11.25" customHeight="1" x14ac:dyDescent="0.2">
      <c r="A93" s="66" t="s">
        <v>122</v>
      </c>
      <c r="B93" s="174" t="s">
        <v>331</v>
      </c>
      <c r="C93" s="162"/>
      <c r="D93" s="177">
        <v>1</v>
      </c>
      <c r="E93" s="63"/>
      <c r="F93" s="63"/>
      <c r="G93" s="63"/>
      <c r="H93" s="63"/>
      <c r="I93" s="63"/>
      <c r="J93" s="63"/>
      <c r="K93" s="62" t="s">
        <v>234</v>
      </c>
      <c r="L93" s="63"/>
      <c r="M93" s="31"/>
      <c r="N93" s="31"/>
      <c r="O93" s="31"/>
      <c r="P93" s="176"/>
    </row>
    <row r="94" spans="1:16" ht="11.25" customHeight="1" x14ac:dyDescent="0.2">
      <c r="A94" s="66" t="s">
        <v>156</v>
      </c>
      <c r="B94" s="174" t="s">
        <v>344</v>
      </c>
      <c r="C94" s="163"/>
      <c r="D94" s="177" t="s">
        <v>217</v>
      </c>
      <c r="E94" s="61"/>
      <c r="F94" s="61"/>
      <c r="G94" s="61"/>
      <c r="H94" s="61"/>
      <c r="I94" s="61"/>
      <c r="J94" s="61"/>
      <c r="K94" s="62" t="s">
        <v>219</v>
      </c>
      <c r="L94" s="63"/>
      <c r="M94" s="31"/>
      <c r="N94" s="31"/>
      <c r="O94" s="31"/>
      <c r="P94" s="176"/>
    </row>
    <row r="95" spans="1:16" ht="11.25" customHeight="1" x14ac:dyDescent="0.2">
      <c r="A95" s="66" t="s">
        <v>373</v>
      </c>
      <c r="B95" s="174" t="s">
        <v>330</v>
      </c>
      <c r="C95" s="162"/>
      <c r="D95" s="175"/>
      <c r="E95" s="61"/>
      <c r="F95" s="62">
        <v>5</v>
      </c>
      <c r="G95" s="61"/>
      <c r="H95" s="61"/>
      <c r="I95" s="63"/>
      <c r="J95" s="63"/>
      <c r="K95" s="63"/>
      <c r="L95" s="63"/>
      <c r="M95" s="31"/>
      <c r="N95" s="31"/>
      <c r="O95" s="31"/>
      <c r="P95" s="176"/>
    </row>
    <row r="96" spans="1:16" ht="11.25" customHeight="1" x14ac:dyDescent="0.2">
      <c r="A96" s="66" t="s">
        <v>157</v>
      </c>
      <c r="B96" s="174" t="s">
        <v>331</v>
      </c>
      <c r="C96" s="162" t="s">
        <v>112</v>
      </c>
      <c r="D96" s="175"/>
      <c r="E96" s="61"/>
      <c r="F96" s="61"/>
      <c r="G96" s="61"/>
      <c r="H96" s="61"/>
      <c r="I96" s="61"/>
      <c r="J96" s="62">
        <v>3</v>
      </c>
      <c r="K96" s="61"/>
      <c r="L96" s="63"/>
      <c r="M96" s="31"/>
      <c r="N96" s="31"/>
      <c r="O96" s="34">
        <v>3</v>
      </c>
      <c r="P96" s="176" t="s">
        <v>323</v>
      </c>
    </row>
    <row r="97" spans="1:16" ht="11.25" customHeight="1" x14ac:dyDescent="0.2">
      <c r="A97" s="66" t="s">
        <v>374</v>
      </c>
      <c r="B97" s="174" t="s">
        <v>344</v>
      </c>
      <c r="C97" s="163"/>
      <c r="D97" s="177">
        <v>1</v>
      </c>
      <c r="E97" s="61"/>
      <c r="F97" s="62">
        <v>1</v>
      </c>
      <c r="G97" s="61"/>
      <c r="H97" s="61"/>
      <c r="I97" s="63"/>
      <c r="J97" s="63"/>
      <c r="K97" s="63"/>
      <c r="L97" s="63"/>
      <c r="M97" s="31"/>
      <c r="N97" s="31"/>
      <c r="O97" s="31"/>
      <c r="P97" s="176"/>
    </row>
    <row r="98" spans="1:16" ht="11.25" customHeight="1" x14ac:dyDescent="0.2">
      <c r="A98" s="66" t="s">
        <v>158</v>
      </c>
      <c r="B98" s="174" t="s">
        <v>331</v>
      </c>
      <c r="C98" s="162"/>
      <c r="D98" s="177" t="s">
        <v>216</v>
      </c>
      <c r="E98" s="62">
        <v>6</v>
      </c>
      <c r="F98" s="62" t="s">
        <v>216</v>
      </c>
      <c r="G98" s="61"/>
      <c r="H98" s="61"/>
      <c r="I98" s="62" t="s">
        <v>216</v>
      </c>
      <c r="J98" s="62" t="s">
        <v>216</v>
      </c>
      <c r="K98" s="62" t="s">
        <v>216</v>
      </c>
      <c r="L98" s="62" t="s">
        <v>216</v>
      </c>
      <c r="M98" s="34">
        <v>6</v>
      </c>
      <c r="N98" s="30"/>
      <c r="O98" s="30"/>
      <c r="P98" s="176"/>
    </row>
    <row r="99" spans="1:16" ht="11.25" customHeight="1" x14ac:dyDescent="0.2">
      <c r="A99" s="66" t="s">
        <v>159</v>
      </c>
      <c r="B99" s="174" t="s">
        <v>330</v>
      </c>
      <c r="C99" s="162"/>
      <c r="D99" s="175"/>
      <c r="E99" s="63"/>
      <c r="F99" s="62">
        <v>3</v>
      </c>
      <c r="G99" s="63"/>
      <c r="H99" s="63"/>
      <c r="I99" s="63"/>
      <c r="J99" s="62">
        <v>1</v>
      </c>
      <c r="K99" s="62" t="s">
        <v>444</v>
      </c>
      <c r="L99" s="62" t="s">
        <v>225</v>
      </c>
      <c r="M99" s="30"/>
      <c r="N99" s="30"/>
      <c r="O99" s="30"/>
      <c r="P99" s="176"/>
    </row>
    <row r="100" spans="1:16" ht="11.25" customHeight="1" x14ac:dyDescent="0.2">
      <c r="A100" s="66" t="s">
        <v>160</v>
      </c>
      <c r="B100" s="174" t="s">
        <v>330</v>
      </c>
      <c r="C100" s="162"/>
      <c r="D100" s="177">
        <v>2</v>
      </c>
      <c r="E100" s="63"/>
      <c r="F100" s="62">
        <v>5</v>
      </c>
      <c r="G100" s="63"/>
      <c r="H100" s="63"/>
      <c r="I100" s="63"/>
      <c r="J100" s="63"/>
      <c r="K100" s="62">
        <v>2</v>
      </c>
      <c r="L100" s="62">
        <v>2</v>
      </c>
      <c r="M100" s="34" t="s">
        <v>6</v>
      </c>
      <c r="N100" s="30"/>
      <c r="O100" s="30"/>
      <c r="P100" s="176"/>
    </row>
    <row r="101" spans="1:16" ht="11.25" customHeight="1" x14ac:dyDescent="0.2">
      <c r="A101" s="66" t="s">
        <v>162</v>
      </c>
      <c r="B101" s="174" t="s">
        <v>330</v>
      </c>
      <c r="C101" s="162"/>
      <c r="D101" s="175"/>
      <c r="E101" s="63"/>
      <c r="F101" s="62">
        <v>5</v>
      </c>
      <c r="G101" s="63"/>
      <c r="H101" s="63"/>
      <c r="I101" s="63"/>
      <c r="J101" s="63"/>
      <c r="K101" s="63"/>
      <c r="L101" s="63"/>
      <c r="M101" s="34" t="s">
        <v>444</v>
      </c>
      <c r="N101" s="30"/>
      <c r="O101" s="31"/>
      <c r="P101" s="176"/>
    </row>
    <row r="102" spans="1:16" ht="11.25" customHeight="1" x14ac:dyDescent="0.2">
      <c r="A102" s="66" t="s">
        <v>163</v>
      </c>
      <c r="B102" s="174" t="s">
        <v>330</v>
      </c>
      <c r="C102" s="162"/>
      <c r="D102" s="175"/>
      <c r="E102" s="63"/>
      <c r="F102" s="63"/>
      <c r="G102" s="63"/>
      <c r="H102" s="63"/>
      <c r="I102" s="63"/>
      <c r="J102" s="63"/>
      <c r="K102" s="63"/>
      <c r="L102" s="62">
        <v>6</v>
      </c>
      <c r="M102" s="30"/>
      <c r="N102" s="30"/>
      <c r="O102" s="31"/>
      <c r="P102" s="176"/>
    </row>
    <row r="103" spans="1:16" ht="11.25" customHeight="1" x14ac:dyDescent="0.2">
      <c r="A103" s="66" t="s">
        <v>164</v>
      </c>
      <c r="B103" s="174" t="s">
        <v>344</v>
      </c>
      <c r="C103" s="162"/>
      <c r="D103" s="175"/>
      <c r="E103" s="31"/>
      <c r="F103" s="34">
        <v>5</v>
      </c>
      <c r="G103" s="31"/>
      <c r="H103" s="31"/>
      <c r="I103" s="63"/>
      <c r="J103" s="31"/>
      <c r="K103" s="31"/>
      <c r="L103" s="62" t="s">
        <v>222</v>
      </c>
      <c r="M103" s="30"/>
      <c r="N103" s="30"/>
      <c r="O103" s="30"/>
      <c r="P103" s="176"/>
    </row>
    <row r="104" spans="1:16" ht="11.25" customHeight="1" x14ac:dyDescent="0.2">
      <c r="A104" s="66" t="s">
        <v>165</v>
      </c>
      <c r="B104" s="174" t="s">
        <v>223</v>
      </c>
      <c r="C104" s="162"/>
      <c r="D104" s="177" t="s">
        <v>222</v>
      </c>
      <c r="E104" s="63"/>
      <c r="F104" s="63"/>
      <c r="G104" s="63"/>
      <c r="H104" s="34">
        <v>1</v>
      </c>
      <c r="I104" s="63"/>
      <c r="J104" s="63"/>
      <c r="K104" s="62" t="s">
        <v>222</v>
      </c>
      <c r="L104" s="63"/>
      <c r="M104" s="30"/>
      <c r="N104" s="30"/>
      <c r="O104" s="31"/>
      <c r="P104" s="181"/>
    </row>
    <row r="105" spans="1:16" ht="11.25" customHeight="1" x14ac:dyDescent="0.2">
      <c r="A105" s="66" t="s">
        <v>161</v>
      </c>
      <c r="B105" s="174" t="s">
        <v>331</v>
      </c>
      <c r="C105" s="162"/>
      <c r="D105" s="177" t="s">
        <v>230</v>
      </c>
      <c r="E105" s="34">
        <v>1</v>
      </c>
      <c r="F105" s="63"/>
      <c r="G105" s="63"/>
      <c r="H105" s="63"/>
      <c r="I105" s="63"/>
      <c r="J105" s="63"/>
      <c r="K105" s="62">
        <v>2</v>
      </c>
      <c r="L105" s="34">
        <v>1</v>
      </c>
      <c r="M105" s="30"/>
      <c r="N105" s="30"/>
      <c r="O105" s="30"/>
      <c r="P105" s="176"/>
    </row>
    <row r="106" spans="1:16" ht="11.25" customHeight="1" x14ac:dyDescent="0.2">
      <c r="A106" s="66" t="s">
        <v>526</v>
      </c>
      <c r="B106" s="174" t="s">
        <v>344</v>
      </c>
      <c r="C106" s="162"/>
      <c r="D106" s="175"/>
      <c r="E106" s="61"/>
      <c r="F106" s="61"/>
      <c r="G106" s="61"/>
      <c r="H106" s="61"/>
      <c r="I106" s="62" t="s">
        <v>215</v>
      </c>
      <c r="J106" s="62">
        <v>3</v>
      </c>
      <c r="K106" s="61"/>
      <c r="L106" s="61"/>
      <c r="M106" s="30"/>
      <c r="N106" s="30"/>
      <c r="O106" s="34">
        <v>3</v>
      </c>
      <c r="P106" s="176" t="s">
        <v>141</v>
      </c>
    </row>
    <row r="107" spans="1:16" ht="11.25" customHeight="1" x14ac:dyDescent="0.2">
      <c r="A107" s="66" t="s">
        <v>527</v>
      </c>
      <c r="B107" s="174" t="s">
        <v>330</v>
      </c>
      <c r="C107" s="162"/>
      <c r="D107" s="175"/>
      <c r="E107" s="61"/>
      <c r="F107" s="61"/>
      <c r="G107" s="61"/>
      <c r="H107" s="61"/>
      <c r="I107" s="62" t="s">
        <v>215</v>
      </c>
      <c r="J107" s="62">
        <v>3</v>
      </c>
      <c r="K107" s="61"/>
      <c r="L107" s="61"/>
      <c r="M107" s="30"/>
      <c r="N107" s="30"/>
      <c r="O107" s="34">
        <v>3</v>
      </c>
      <c r="P107" s="176" t="s">
        <v>141</v>
      </c>
    </row>
    <row r="108" spans="1:16" ht="11.25" customHeight="1" x14ac:dyDescent="0.2">
      <c r="A108" s="66" t="s">
        <v>445</v>
      </c>
      <c r="B108" s="174" t="s">
        <v>330</v>
      </c>
      <c r="C108" s="162"/>
      <c r="D108" s="175"/>
      <c r="E108" s="61"/>
      <c r="F108" s="63"/>
      <c r="G108" s="61"/>
      <c r="H108" s="61"/>
      <c r="I108" s="62">
        <v>5</v>
      </c>
      <c r="J108" s="61"/>
      <c r="K108" s="61"/>
      <c r="L108" s="61"/>
      <c r="M108" s="30"/>
      <c r="N108" s="30"/>
      <c r="O108" s="31"/>
      <c r="P108" s="176"/>
    </row>
    <row r="109" spans="1:16" ht="11.25" customHeight="1" x14ac:dyDescent="0.2">
      <c r="A109" s="66" t="s">
        <v>446</v>
      </c>
      <c r="B109" s="174" t="s">
        <v>344</v>
      </c>
      <c r="C109" s="162"/>
      <c r="D109" s="175"/>
      <c r="E109" s="61"/>
      <c r="F109" s="63"/>
      <c r="G109" s="61"/>
      <c r="H109" s="62">
        <v>2</v>
      </c>
      <c r="I109" s="62">
        <v>2</v>
      </c>
      <c r="J109" s="62">
        <v>3</v>
      </c>
      <c r="K109" s="63"/>
      <c r="L109" s="63"/>
      <c r="M109" s="31"/>
      <c r="N109" s="34" t="s">
        <v>222</v>
      </c>
      <c r="O109" s="34">
        <v>3</v>
      </c>
      <c r="P109" s="176"/>
    </row>
    <row r="110" spans="1:16" ht="11.25" customHeight="1" x14ac:dyDescent="0.2">
      <c r="A110" s="66" t="s">
        <v>113</v>
      </c>
      <c r="B110" s="174" t="s">
        <v>361</v>
      </c>
      <c r="C110" s="162"/>
      <c r="D110" s="177" t="s">
        <v>222</v>
      </c>
      <c r="E110" s="63"/>
      <c r="F110" s="63"/>
      <c r="G110" s="63"/>
      <c r="H110" s="63"/>
      <c r="I110" s="34">
        <v>1</v>
      </c>
      <c r="J110" s="63"/>
      <c r="K110" s="62">
        <v>5</v>
      </c>
      <c r="L110" s="63"/>
      <c r="M110" s="31"/>
      <c r="N110" s="34" t="s">
        <v>444</v>
      </c>
      <c r="O110" s="34">
        <v>2</v>
      </c>
      <c r="P110" s="176"/>
    </row>
    <row r="111" spans="1:16" ht="11.25" customHeight="1" x14ac:dyDescent="0.2">
      <c r="A111" s="66" t="s">
        <v>375</v>
      </c>
      <c r="B111" s="174" t="s">
        <v>330</v>
      </c>
      <c r="C111" s="163"/>
      <c r="D111" s="177" t="s">
        <v>355</v>
      </c>
      <c r="E111" s="61"/>
      <c r="F111" s="62">
        <v>2</v>
      </c>
      <c r="G111" s="62" t="s">
        <v>177</v>
      </c>
      <c r="H111" s="61"/>
      <c r="I111" s="62" t="s">
        <v>7</v>
      </c>
      <c r="J111" s="63"/>
      <c r="K111" s="62" t="s">
        <v>177</v>
      </c>
      <c r="L111" s="62" t="s">
        <v>324</v>
      </c>
      <c r="M111" s="31"/>
      <c r="N111" s="34">
        <v>2</v>
      </c>
      <c r="O111" s="34">
        <v>6</v>
      </c>
      <c r="P111" s="176"/>
    </row>
    <row r="112" spans="1:16" ht="11.25" customHeight="1" x14ac:dyDescent="0.2">
      <c r="A112" s="66" t="s">
        <v>376</v>
      </c>
      <c r="B112" s="174" t="s">
        <v>223</v>
      </c>
      <c r="C112" s="163"/>
      <c r="D112" s="175"/>
      <c r="E112" s="61"/>
      <c r="F112" s="61"/>
      <c r="G112" s="61"/>
      <c r="H112" s="61"/>
      <c r="I112" s="63"/>
      <c r="J112" s="63"/>
      <c r="K112" s="63"/>
      <c r="L112" s="63"/>
      <c r="M112" s="31"/>
      <c r="N112" s="31"/>
      <c r="O112" s="31"/>
      <c r="P112" s="176" t="s">
        <v>237</v>
      </c>
    </row>
    <row r="113" spans="1:16" ht="11.25" customHeight="1" x14ac:dyDescent="0.2">
      <c r="A113" s="66" t="s">
        <v>377</v>
      </c>
      <c r="B113" s="174" t="s">
        <v>223</v>
      </c>
      <c r="C113" s="163"/>
      <c r="D113" s="177">
        <v>2</v>
      </c>
      <c r="E113" s="61"/>
      <c r="F113" s="61"/>
      <c r="G113" s="61"/>
      <c r="H113" s="61"/>
      <c r="I113" s="62">
        <v>2</v>
      </c>
      <c r="J113" s="63"/>
      <c r="K113" s="63"/>
      <c r="L113" s="63"/>
      <c r="M113" s="34">
        <v>2</v>
      </c>
      <c r="N113" s="31"/>
      <c r="O113" s="31"/>
      <c r="P113" s="176"/>
    </row>
    <row r="114" spans="1:16" ht="11.25" customHeight="1" x14ac:dyDescent="0.2">
      <c r="A114" s="66" t="s">
        <v>378</v>
      </c>
      <c r="B114" s="174" t="s">
        <v>330</v>
      </c>
      <c r="C114" s="163"/>
      <c r="D114" s="175"/>
      <c r="E114" s="61"/>
      <c r="F114" s="61"/>
      <c r="G114" s="61"/>
      <c r="H114" s="61"/>
      <c r="I114" s="62">
        <v>2</v>
      </c>
      <c r="J114" s="63"/>
      <c r="K114" s="63"/>
      <c r="L114" s="63"/>
      <c r="M114" s="31"/>
      <c r="N114" s="31"/>
      <c r="O114" s="31"/>
      <c r="P114" s="176"/>
    </row>
    <row r="115" spans="1:16" ht="11.25" customHeight="1" x14ac:dyDescent="0.2">
      <c r="A115" s="66" t="s">
        <v>379</v>
      </c>
      <c r="B115" s="174" t="s">
        <v>223</v>
      </c>
      <c r="C115" s="163"/>
      <c r="D115" s="177">
        <v>2</v>
      </c>
      <c r="E115" s="61"/>
      <c r="F115" s="61"/>
      <c r="G115" s="61"/>
      <c r="H115" s="61"/>
      <c r="I115" s="62">
        <v>2</v>
      </c>
      <c r="J115" s="63"/>
      <c r="K115" s="63"/>
      <c r="L115" s="63"/>
      <c r="M115" s="34">
        <v>2</v>
      </c>
      <c r="N115" s="31"/>
      <c r="O115" s="31"/>
      <c r="P115" s="176"/>
    </row>
    <row r="116" spans="1:16" ht="11.25" customHeight="1" x14ac:dyDescent="0.2">
      <c r="A116" s="66" t="s">
        <v>447</v>
      </c>
      <c r="B116" s="174" t="s">
        <v>331</v>
      </c>
      <c r="C116" s="162"/>
      <c r="D116" s="177" t="s">
        <v>220</v>
      </c>
      <c r="E116" s="63"/>
      <c r="F116" s="62" t="s">
        <v>362</v>
      </c>
      <c r="G116" s="63"/>
      <c r="H116" s="63"/>
      <c r="I116" s="62">
        <v>3</v>
      </c>
      <c r="J116" s="62">
        <v>3</v>
      </c>
      <c r="K116" s="62" t="s">
        <v>230</v>
      </c>
      <c r="L116" s="62" t="s">
        <v>217</v>
      </c>
      <c r="M116" s="34">
        <v>1</v>
      </c>
      <c r="N116" s="34" t="s">
        <v>217</v>
      </c>
      <c r="O116" s="31"/>
      <c r="P116" s="176"/>
    </row>
    <row r="117" spans="1:16" ht="11.25" customHeight="1" x14ac:dyDescent="0.2">
      <c r="A117" s="66" t="s">
        <v>380</v>
      </c>
      <c r="B117" s="174" t="s">
        <v>223</v>
      </c>
      <c r="C117" s="163"/>
      <c r="D117" s="175"/>
      <c r="E117" s="61"/>
      <c r="F117" s="61"/>
      <c r="G117" s="61"/>
      <c r="H117" s="61"/>
      <c r="I117" s="63"/>
      <c r="J117" s="63"/>
      <c r="K117" s="63"/>
      <c r="L117" s="63"/>
      <c r="M117" s="31"/>
      <c r="N117" s="31"/>
      <c r="O117" s="31"/>
      <c r="P117" s="176" t="s">
        <v>237</v>
      </c>
    </row>
    <row r="118" spans="1:16" ht="11.25" customHeight="1" x14ac:dyDescent="0.2">
      <c r="A118" s="66" t="s">
        <v>132</v>
      </c>
      <c r="B118" s="174" t="s">
        <v>330</v>
      </c>
      <c r="C118" s="162"/>
      <c r="D118" s="178"/>
      <c r="E118" s="63"/>
      <c r="F118" s="63"/>
      <c r="G118" s="62">
        <v>7</v>
      </c>
      <c r="H118" s="63"/>
      <c r="I118" s="62">
        <v>2</v>
      </c>
      <c r="J118" s="63"/>
      <c r="K118" s="63"/>
      <c r="L118" s="63"/>
      <c r="M118" s="31"/>
      <c r="N118" s="31"/>
      <c r="O118" s="31"/>
      <c r="P118" s="176"/>
    </row>
    <row r="119" spans="1:16" ht="11.25" customHeight="1" x14ac:dyDescent="0.2">
      <c r="A119" s="66" t="s">
        <v>448</v>
      </c>
      <c r="B119" s="174" t="s">
        <v>330</v>
      </c>
      <c r="C119" s="162"/>
      <c r="D119" s="175"/>
      <c r="E119" s="61"/>
      <c r="F119" s="61"/>
      <c r="G119" s="61"/>
      <c r="H119" s="61"/>
      <c r="I119" s="62" t="s">
        <v>215</v>
      </c>
      <c r="J119" s="62">
        <v>3</v>
      </c>
      <c r="K119" s="61"/>
      <c r="L119" s="61"/>
      <c r="M119" s="30"/>
      <c r="N119" s="30"/>
      <c r="O119" s="34">
        <v>3</v>
      </c>
      <c r="P119" s="176" t="s">
        <v>141</v>
      </c>
    </row>
    <row r="120" spans="1:16" ht="11.25" customHeight="1" x14ac:dyDescent="0.2">
      <c r="A120" s="66" t="s">
        <v>449</v>
      </c>
      <c r="B120" s="174" t="s">
        <v>330</v>
      </c>
      <c r="C120" s="162"/>
      <c r="D120" s="177" t="s">
        <v>444</v>
      </c>
      <c r="E120" s="31"/>
      <c r="F120" s="62" t="s">
        <v>357</v>
      </c>
      <c r="G120" s="63"/>
      <c r="H120" s="63"/>
      <c r="I120" s="62">
        <v>1</v>
      </c>
      <c r="J120" s="63"/>
      <c r="K120" s="62" t="s">
        <v>444</v>
      </c>
      <c r="L120" s="34">
        <v>1</v>
      </c>
      <c r="M120" s="34">
        <v>4</v>
      </c>
      <c r="N120" s="34">
        <v>1</v>
      </c>
      <c r="O120" s="31"/>
      <c r="P120" s="176"/>
    </row>
    <row r="121" spans="1:16" ht="11.25" customHeight="1" x14ac:dyDescent="0.2">
      <c r="A121" s="66" t="s">
        <v>123</v>
      </c>
      <c r="B121" s="174" t="s">
        <v>331</v>
      </c>
      <c r="C121" s="162"/>
      <c r="D121" s="177" t="s">
        <v>175</v>
      </c>
      <c r="E121" s="63"/>
      <c r="F121" s="62" t="s">
        <v>362</v>
      </c>
      <c r="G121" s="62">
        <v>3</v>
      </c>
      <c r="H121" s="62">
        <v>5</v>
      </c>
      <c r="I121" s="62">
        <v>3</v>
      </c>
      <c r="J121" s="62" t="s">
        <v>228</v>
      </c>
      <c r="K121" s="63"/>
      <c r="L121" s="63"/>
      <c r="M121" s="34" t="s">
        <v>175</v>
      </c>
      <c r="N121" s="30"/>
      <c r="O121" s="34">
        <v>3</v>
      </c>
      <c r="P121" s="180"/>
    </row>
    <row r="122" spans="1:16" ht="11.25" customHeight="1" x14ac:dyDescent="0.2">
      <c r="A122" s="66" t="s">
        <v>381</v>
      </c>
      <c r="B122" s="174" t="s">
        <v>330</v>
      </c>
      <c r="C122" s="163"/>
      <c r="D122" s="177">
        <v>5</v>
      </c>
      <c r="E122" s="61"/>
      <c r="F122" s="61"/>
      <c r="G122" s="61"/>
      <c r="H122" s="61"/>
      <c r="I122" s="63"/>
      <c r="J122" s="63"/>
      <c r="K122" s="63"/>
      <c r="L122" s="63"/>
      <c r="M122" s="31"/>
      <c r="N122" s="31"/>
      <c r="O122" s="31"/>
      <c r="P122" s="176"/>
    </row>
    <row r="123" spans="1:16" ht="11.25" customHeight="1" x14ac:dyDescent="0.2">
      <c r="A123" s="66" t="s">
        <v>450</v>
      </c>
      <c r="B123" s="174" t="s">
        <v>330</v>
      </c>
      <c r="C123" s="162"/>
      <c r="D123" s="175"/>
      <c r="E123" s="61"/>
      <c r="F123" s="61"/>
      <c r="G123" s="61"/>
      <c r="H123" s="61"/>
      <c r="I123" s="61"/>
      <c r="J123" s="62">
        <v>3</v>
      </c>
      <c r="K123" s="62" t="s">
        <v>215</v>
      </c>
      <c r="L123" s="61"/>
      <c r="M123" s="30"/>
      <c r="N123" s="31"/>
      <c r="O123" s="31"/>
      <c r="P123" s="176"/>
    </row>
    <row r="124" spans="1:16" ht="11.25" customHeight="1" x14ac:dyDescent="0.2">
      <c r="A124" s="66" t="s">
        <v>451</v>
      </c>
      <c r="B124" s="174" t="s">
        <v>330</v>
      </c>
      <c r="C124" s="162"/>
      <c r="D124" s="177" t="s">
        <v>234</v>
      </c>
      <c r="E124" s="34">
        <v>1</v>
      </c>
      <c r="F124" s="63"/>
      <c r="G124" s="61"/>
      <c r="H124" s="61"/>
      <c r="I124" s="62">
        <v>5</v>
      </c>
      <c r="J124" s="61"/>
      <c r="K124" s="63"/>
      <c r="L124" s="34">
        <v>1</v>
      </c>
      <c r="M124" s="31"/>
      <c r="N124" s="34" t="s">
        <v>444</v>
      </c>
      <c r="O124" s="34" t="s">
        <v>219</v>
      </c>
      <c r="P124" s="176" t="s">
        <v>168</v>
      </c>
    </row>
    <row r="125" spans="1:16" ht="11.25" customHeight="1" x14ac:dyDescent="0.2">
      <c r="A125" s="66" t="s">
        <v>114</v>
      </c>
      <c r="B125" s="174" t="s">
        <v>330</v>
      </c>
      <c r="C125" s="162"/>
      <c r="D125" s="175"/>
      <c r="E125" s="61"/>
      <c r="F125" s="63"/>
      <c r="G125" s="61"/>
      <c r="H125" s="61"/>
      <c r="I125" s="61"/>
      <c r="J125" s="61"/>
      <c r="K125" s="63"/>
      <c r="L125" s="63"/>
      <c r="M125" s="31"/>
      <c r="N125" s="31"/>
      <c r="O125" s="34" t="s">
        <v>219</v>
      </c>
      <c r="P125" s="176"/>
    </row>
    <row r="126" spans="1:16" ht="11.25" customHeight="1" x14ac:dyDescent="0.2">
      <c r="A126" s="66" t="s">
        <v>382</v>
      </c>
      <c r="B126" s="174" t="s">
        <v>223</v>
      </c>
      <c r="C126" s="163"/>
      <c r="D126" s="175"/>
      <c r="E126" s="61"/>
      <c r="F126" s="62" t="s">
        <v>215</v>
      </c>
      <c r="G126" s="61"/>
      <c r="H126" s="61"/>
      <c r="I126" s="62" t="s">
        <v>441</v>
      </c>
      <c r="J126" s="63"/>
      <c r="K126" s="63"/>
      <c r="L126" s="63"/>
      <c r="M126" s="31"/>
      <c r="N126" s="31"/>
      <c r="O126" s="34">
        <v>2</v>
      </c>
      <c r="P126" s="176"/>
    </row>
    <row r="127" spans="1:16" ht="11.25" customHeight="1" x14ac:dyDescent="0.2">
      <c r="A127" s="66" t="s">
        <v>452</v>
      </c>
      <c r="B127" s="174" t="s">
        <v>344</v>
      </c>
      <c r="C127" s="162"/>
      <c r="D127" s="177" t="s">
        <v>221</v>
      </c>
      <c r="E127" s="61"/>
      <c r="F127" s="63"/>
      <c r="G127" s="61"/>
      <c r="H127" s="61"/>
      <c r="I127" s="62" t="s">
        <v>215</v>
      </c>
      <c r="J127" s="61"/>
      <c r="K127" s="61"/>
      <c r="L127" s="62" t="s">
        <v>225</v>
      </c>
      <c r="M127" s="31"/>
      <c r="N127" s="34">
        <v>2</v>
      </c>
      <c r="O127" s="34">
        <v>2</v>
      </c>
      <c r="P127" s="176"/>
    </row>
    <row r="128" spans="1:16" ht="11.25" customHeight="1" x14ac:dyDescent="0.2">
      <c r="A128" s="66" t="s">
        <v>383</v>
      </c>
      <c r="B128" s="174" t="s">
        <v>330</v>
      </c>
      <c r="C128" s="163"/>
      <c r="D128" s="177">
        <v>5</v>
      </c>
      <c r="E128" s="61"/>
      <c r="F128" s="61"/>
      <c r="G128" s="62">
        <v>5</v>
      </c>
      <c r="H128" s="61"/>
      <c r="I128" s="63"/>
      <c r="J128" s="63"/>
      <c r="K128" s="63"/>
      <c r="L128" s="63"/>
      <c r="M128" s="31"/>
      <c r="N128" s="31"/>
      <c r="O128" s="31"/>
      <c r="P128" s="176"/>
    </row>
    <row r="129" spans="1:16" ht="11.25" customHeight="1" x14ac:dyDescent="0.2">
      <c r="A129" s="66" t="s">
        <v>346</v>
      </c>
      <c r="B129" s="174" t="s">
        <v>223</v>
      </c>
      <c r="C129" s="162"/>
      <c r="D129" s="178"/>
      <c r="E129" s="63"/>
      <c r="F129" s="63"/>
      <c r="G129" s="63"/>
      <c r="H129" s="63"/>
      <c r="I129" s="63"/>
      <c r="J129" s="63"/>
      <c r="K129" s="63"/>
      <c r="L129" s="63"/>
      <c r="M129" s="31"/>
      <c r="N129" s="31"/>
      <c r="O129" s="31"/>
      <c r="P129" s="176" t="s">
        <v>323</v>
      </c>
    </row>
    <row r="130" spans="1:16" ht="11.25" customHeight="1" x14ac:dyDescent="0.2">
      <c r="A130" s="66" t="s">
        <v>453</v>
      </c>
      <c r="B130" s="174" t="s">
        <v>344</v>
      </c>
      <c r="C130" s="162"/>
      <c r="D130" s="177">
        <v>5</v>
      </c>
      <c r="E130" s="61"/>
      <c r="F130" s="63"/>
      <c r="G130" s="61"/>
      <c r="H130" s="61"/>
      <c r="I130" s="61"/>
      <c r="J130" s="61"/>
      <c r="K130" s="62">
        <v>5</v>
      </c>
      <c r="L130" s="61"/>
      <c r="M130" s="30"/>
      <c r="N130" s="30"/>
      <c r="O130" s="30"/>
      <c r="P130" s="176"/>
    </row>
    <row r="131" spans="1:16" ht="11.25" customHeight="1" x14ac:dyDescent="0.2">
      <c r="A131" s="66" t="s">
        <v>454</v>
      </c>
      <c r="B131" s="174" t="s">
        <v>344</v>
      </c>
      <c r="C131" s="162"/>
      <c r="D131" s="177" t="s">
        <v>217</v>
      </c>
      <c r="E131" s="61"/>
      <c r="F131" s="63"/>
      <c r="G131" s="61"/>
      <c r="H131" s="61"/>
      <c r="I131" s="61"/>
      <c r="J131" s="61"/>
      <c r="K131" s="61"/>
      <c r="L131" s="62" t="s">
        <v>217</v>
      </c>
      <c r="M131" s="30"/>
      <c r="N131" s="30"/>
      <c r="O131" s="31"/>
      <c r="P131" s="176"/>
    </row>
    <row r="132" spans="1:16" ht="11.25" customHeight="1" x14ac:dyDescent="0.2">
      <c r="A132" s="66" t="s">
        <v>455</v>
      </c>
      <c r="B132" s="174" t="s">
        <v>344</v>
      </c>
      <c r="C132" s="162"/>
      <c r="D132" s="177" t="s">
        <v>234</v>
      </c>
      <c r="E132" s="63"/>
      <c r="F132" s="63"/>
      <c r="G132" s="63"/>
      <c r="H132" s="63"/>
      <c r="I132" s="63"/>
      <c r="J132" s="63"/>
      <c r="K132" s="62" t="s">
        <v>444</v>
      </c>
      <c r="L132" s="63"/>
      <c r="M132" s="31"/>
      <c r="N132" s="31"/>
      <c r="O132" s="31"/>
      <c r="P132" s="176"/>
    </row>
    <row r="133" spans="1:16" ht="11.25" customHeight="1" x14ac:dyDescent="0.2">
      <c r="A133" s="66" t="s">
        <v>384</v>
      </c>
      <c r="B133" s="174" t="s">
        <v>330</v>
      </c>
      <c r="C133" s="163"/>
      <c r="D133" s="177">
        <v>1</v>
      </c>
      <c r="E133" s="61"/>
      <c r="F133" s="62">
        <v>1</v>
      </c>
      <c r="G133" s="61"/>
      <c r="H133" s="61"/>
      <c r="I133" s="63"/>
      <c r="J133" s="63"/>
      <c r="K133" s="63"/>
      <c r="L133" s="63"/>
      <c r="M133" s="34">
        <v>1</v>
      </c>
      <c r="N133" s="31"/>
      <c r="O133" s="31"/>
      <c r="P133" s="176"/>
    </row>
    <row r="134" spans="1:16" ht="11.25" customHeight="1" x14ac:dyDescent="0.2">
      <c r="A134" s="66" t="s">
        <v>385</v>
      </c>
      <c r="B134" s="174" t="s">
        <v>330</v>
      </c>
      <c r="C134" s="163"/>
      <c r="D134" s="175"/>
      <c r="E134" s="61"/>
      <c r="F134" s="61"/>
      <c r="G134" s="61"/>
      <c r="H134" s="61"/>
      <c r="I134" s="63"/>
      <c r="J134" s="63"/>
      <c r="K134" s="63"/>
      <c r="L134" s="63"/>
      <c r="M134" s="31"/>
      <c r="N134" s="31"/>
      <c r="O134" s="31"/>
      <c r="P134" s="176"/>
    </row>
    <row r="135" spans="1:16" ht="11.25" customHeight="1" x14ac:dyDescent="0.2">
      <c r="A135" s="66" t="s">
        <v>456</v>
      </c>
      <c r="B135" s="174" t="s">
        <v>330</v>
      </c>
      <c r="C135" s="162"/>
      <c r="D135" s="177">
        <v>2</v>
      </c>
      <c r="E135" s="62">
        <v>2</v>
      </c>
      <c r="F135" s="61"/>
      <c r="G135" s="61"/>
      <c r="H135" s="62">
        <v>2</v>
      </c>
      <c r="I135" s="62">
        <v>5</v>
      </c>
      <c r="J135" s="61"/>
      <c r="K135" s="61"/>
      <c r="L135" s="62" t="s">
        <v>217</v>
      </c>
      <c r="M135" s="34" t="s">
        <v>217</v>
      </c>
      <c r="N135" s="30"/>
      <c r="O135" s="34">
        <v>2</v>
      </c>
      <c r="P135" s="176"/>
    </row>
    <row r="136" spans="1:16" ht="11.25" customHeight="1" x14ac:dyDescent="0.2">
      <c r="A136" s="66" t="s">
        <v>124</v>
      </c>
      <c r="B136" s="174" t="s">
        <v>330</v>
      </c>
      <c r="C136" s="162"/>
      <c r="D136" s="177" t="s">
        <v>215</v>
      </c>
      <c r="E136" s="63"/>
      <c r="F136" s="62" t="s">
        <v>362</v>
      </c>
      <c r="G136" s="63"/>
      <c r="H136" s="63"/>
      <c r="I136" s="63"/>
      <c r="J136" s="63"/>
      <c r="K136" s="62" t="s">
        <v>215</v>
      </c>
      <c r="L136" s="62" t="s">
        <v>234</v>
      </c>
      <c r="M136" s="34">
        <v>2</v>
      </c>
      <c r="N136" s="34" t="s">
        <v>222</v>
      </c>
      <c r="O136" s="30"/>
      <c r="P136" s="176"/>
    </row>
    <row r="137" spans="1:16" ht="11.25" customHeight="1" x14ac:dyDescent="0.2">
      <c r="A137" s="66" t="s">
        <v>347</v>
      </c>
      <c r="B137" s="174" t="s">
        <v>331</v>
      </c>
      <c r="C137" s="162"/>
      <c r="D137" s="177">
        <v>3</v>
      </c>
      <c r="E137" s="63"/>
      <c r="F137" s="63"/>
      <c r="G137" s="62">
        <v>3</v>
      </c>
      <c r="H137" s="63"/>
      <c r="I137" s="63"/>
      <c r="J137" s="62">
        <v>3</v>
      </c>
      <c r="K137" s="62">
        <v>3</v>
      </c>
      <c r="L137" s="63"/>
      <c r="M137" s="31"/>
      <c r="N137" s="31"/>
      <c r="O137" s="30"/>
      <c r="P137" s="176"/>
    </row>
    <row r="138" spans="1:16" ht="11.25" customHeight="1" x14ac:dyDescent="0.2">
      <c r="A138" s="66" t="s">
        <v>183</v>
      </c>
      <c r="B138" s="174" t="s">
        <v>330</v>
      </c>
      <c r="C138" s="162"/>
      <c r="D138" s="35">
        <v>8</v>
      </c>
      <c r="E138" s="61"/>
      <c r="F138" s="60"/>
      <c r="G138" s="60"/>
      <c r="H138" s="61"/>
      <c r="I138" s="62">
        <v>8</v>
      </c>
      <c r="J138" s="61"/>
      <c r="K138" s="62">
        <v>8</v>
      </c>
      <c r="L138" s="62">
        <v>8</v>
      </c>
      <c r="M138" s="30"/>
      <c r="N138" s="30"/>
      <c r="O138" s="33"/>
      <c r="P138" s="32" t="s">
        <v>214</v>
      </c>
    </row>
    <row r="139" spans="1:16" ht="11.25" customHeight="1" x14ac:dyDescent="0.2">
      <c r="A139" s="66" t="s">
        <v>182</v>
      </c>
      <c r="B139" s="174" t="s">
        <v>330</v>
      </c>
      <c r="C139" s="162"/>
      <c r="D139" s="35">
        <v>8</v>
      </c>
      <c r="E139" s="61"/>
      <c r="F139" s="60"/>
      <c r="G139" s="60"/>
      <c r="H139" s="61"/>
      <c r="I139" s="62">
        <v>8</v>
      </c>
      <c r="J139" s="61"/>
      <c r="K139" s="62">
        <v>8</v>
      </c>
      <c r="L139" s="62">
        <v>8</v>
      </c>
      <c r="M139" s="30"/>
      <c r="N139" s="30"/>
      <c r="O139" s="33"/>
      <c r="P139" s="32" t="s">
        <v>214</v>
      </c>
    </row>
    <row r="140" spans="1:16" ht="11.25" customHeight="1" x14ac:dyDescent="0.2">
      <c r="A140" s="66" t="s">
        <v>325</v>
      </c>
      <c r="B140" s="174" t="s">
        <v>330</v>
      </c>
      <c r="C140" s="162"/>
      <c r="D140" s="35">
        <v>8</v>
      </c>
      <c r="E140" s="61"/>
      <c r="F140" s="60"/>
      <c r="G140" s="60"/>
      <c r="H140" s="61"/>
      <c r="I140" s="62">
        <v>8</v>
      </c>
      <c r="J140" s="61"/>
      <c r="K140" s="62">
        <v>8</v>
      </c>
      <c r="L140" s="62">
        <v>8</v>
      </c>
      <c r="M140" s="30"/>
      <c r="N140" s="30"/>
      <c r="O140" s="33"/>
      <c r="P140" s="32" t="s">
        <v>214</v>
      </c>
    </row>
    <row r="141" spans="1:16" ht="11.25" customHeight="1" x14ac:dyDescent="0.2">
      <c r="A141" s="66" t="s">
        <v>115</v>
      </c>
      <c r="B141" s="174" t="s">
        <v>330</v>
      </c>
      <c r="C141" s="162"/>
      <c r="D141" s="175"/>
      <c r="E141" s="61"/>
      <c r="F141" s="61"/>
      <c r="G141" s="62" t="s">
        <v>215</v>
      </c>
      <c r="H141" s="61"/>
      <c r="I141" s="61"/>
      <c r="J141" s="61"/>
      <c r="K141" s="61"/>
      <c r="L141" s="61"/>
      <c r="M141" s="30"/>
      <c r="N141" s="30"/>
      <c r="O141" s="31"/>
      <c r="P141" s="176"/>
    </row>
    <row r="142" spans="1:16" ht="11.25" customHeight="1" x14ac:dyDescent="0.2">
      <c r="A142" s="66" t="s">
        <v>116</v>
      </c>
      <c r="B142" s="174" t="s">
        <v>330</v>
      </c>
      <c r="C142" s="162"/>
      <c r="D142" s="177" t="s">
        <v>216</v>
      </c>
      <c r="E142" s="62">
        <v>7</v>
      </c>
      <c r="F142" s="61"/>
      <c r="G142" s="61"/>
      <c r="H142" s="61"/>
      <c r="I142" s="61"/>
      <c r="J142" s="61"/>
      <c r="K142" s="61"/>
      <c r="L142" s="34">
        <v>1</v>
      </c>
      <c r="M142" s="30"/>
      <c r="N142" s="30"/>
      <c r="O142" s="31"/>
      <c r="P142" s="176"/>
    </row>
    <row r="143" spans="1:16" ht="11.25" customHeight="1" x14ac:dyDescent="0.2">
      <c r="A143" s="66" t="s">
        <v>457</v>
      </c>
      <c r="B143" s="174" t="s">
        <v>344</v>
      </c>
      <c r="C143" s="162"/>
      <c r="D143" s="177">
        <v>5</v>
      </c>
      <c r="E143" s="61"/>
      <c r="F143" s="61"/>
      <c r="G143" s="61"/>
      <c r="H143" s="61"/>
      <c r="I143" s="62">
        <v>6</v>
      </c>
      <c r="J143" s="62">
        <v>7</v>
      </c>
      <c r="K143" s="61"/>
      <c r="L143" s="61"/>
      <c r="M143" s="30"/>
      <c r="N143" s="30"/>
      <c r="O143" s="34">
        <v>2</v>
      </c>
      <c r="P143" s="176"/>
    </row>
    <row r="144" spans="1:16" ht="11.25" customHeight="1" x14ac:dyDescent="0.2">
      <c r="A144" s="66" t="s">
        <v>458</v>
      </c>
      <c r="B144" s="174" t="s">
        <v>331</v>
      </c>
      <c r="C144" s="162"/>
      <c r="D144" s="177" t="s">
        <v>239</v>
      </c>
      <c r="E144" s="61"/>
      <c r="F144" s="62" t="s">
        <v>358</v>
      </c>
      <c r="G144" s="61"/>
      <c r="H144" s="34">
        <v>1</v>
      </c>
      <c r="I144" s="62">
        <v>3</v>
      </c>
      <c r="J144" s="62">
        <v>6</v>
      </c>
      <c r="K144" s="62" t="s">
        <v>239</v>
      </c>
      <c r="L144" s="62" t="s">
        <v>175</v>
      </c>
      <c r="M144" s="30"/>
      <c r="N144" s="31"/>
      <c r="O144" s="30"/>
      <c r="P144" s="176"/>
    </row>
    <row r="145" spans="1:16" ht="11.25" customHeight="1" x14ac:dyDescent="0.2">
      <c r="A145" s="66" t="s">
        <v>459</v>
      </c>
      <c r="B145" s="174" t="s">
        <v>330</v>
      </c>
      <c r="C145" s="162"/>
      <c r="D145" s="177" t="s">
        <v>225</v>
      </c>
      <c r="E145" s="63"/>
      <c r="F145" s="62">
        <v>1</v>
      </c>
      <c r="G145" s="63"/>
      <c r="H145" s="63"/>
      <c r="I145" s="63"/>
      <c r="J145" s="63"/>
      <c r="K145" s="62" t="s">
        <v>6</v>
      </c>
      <c r="L145" s="63"/>
      <c r="M145" s="34">
        <v>1</v>
      </c>
      <c r="N145" s="30"/>
      <c r="O145" s="30"/>
      <c r="P145" s="176"/>
    </row>
    <row r="146" spans="1:16" ht="11.25" customHeight="1" x14ac:dyDescent="0.2">
      <c r="A146" s="66" t="s">
        <v>460</v>
      </c>
      <c r="B146" s="174" t="s">
        <v>331</v>
      </c>
      <c r="C146" s="162"/>
      <c r="D146" s="177">
        <v>2</v>
      </c>
      <c r="E146" s="61"/>
      <c r="F146" s="61"/>
      <c r="G146" s="61"/>
      <c r="H146" s="61"/>
      <c r="I146" s="61"/>
      <c r="J146" s="61"/>
      <c r="K146" s="61"/>
      <c r="L146" s="61"/>
      <c r="M146" s="30"/>
      <c r="N146" s="30"/>
      <c r="O146" s="30"/>
      <c r="P146" s="176"/>
    </row>
    <row r="147" spans="1:16" ht="11.25" customHeight="1" x14ac:dyDescent="0.2">
      <c r="A147" s="66" t="s">
        <v>386</v>
      </c>
      <c r="B147" s="174" t="s">
        <v>330</v>
      </c>
      <c r="C147" s="163"/>
      <c r="D147" s="175"/>
      <c r="E147" s="61"/>
      <c r="F147" s="62">
        <v>2</v>
      </c>
      <c r="G147" s="61"/>
      <c r="H147" s="61"/>
      <c r="I147" s="63"/>
      <c r="J147" s="63"/>
      <c r="K147" s="62">
        <v>5</v>
      </c>
      <c r="L147" s="63"/>
      <c r="M147" s="34" t="s">
        <v>230</v>
      </c>
      <c r="N147" s="31"/>
      <c r="O147" s="31"/>
      <c r="P147" s="176"/>
    </row>
    <row r="148" spans="1:16" ht="11.25" customHeight="1" x14ac:dyDescent="0.2">
      <c r="A148" s="66" t="s">
        <v>387</v>
      </c>
      <c r="B148" s="174" t="s">
        <v>330</v>
      </c>
      <c r="C148" s="163"/>
      <c r="D148" s="177" t="s">
        <v>176</v>
      </c>
      <c r="E148" s="61"/>
      <c r="F148" s="61"/>
      <c r="G148" s="61"/>
      <c r="H148" s="61"/>
      <c r="I148" s="63"/>
      <c r="J148" s="63"/>
      <c r="K148" s="63"/>
      <c r="L148" s="63"/>
      <c r="M148" s="31"/>
      <c r="N148" s="31"/>
      <c r="O148" s="31"/>
      <c r="P148" s="176"/>
    </row>
    <row r="149" spans="1:16" ht="11.25" customHeight="1" x14ac:dyDescent="0.2">
      <c r="A149" s="66" t="s">
        <v>388</v>
      </c>
      <c r="B149" s="174" t="s">
        <v>529</v>
      </c>
      <c r="C149" s="162" t="s">
        <v>112</v>
      </c>
      <c r="D149" s="177">
        <v>3</v>
      </c>
      <c r="E149" s="61"/>
      <c r="F149" s="61"/>
      <c r="G149" s="61"/>
      <c r="H149" s="61"/>
      <c r="I149" s="62" t="s">
        <v>357</v>
      </c>
      <c r="J149" s="63"/>
      <c r="K149" s="62">
        <v>3</v>
      </c>
      <c r="L149" s="63"/>
      <c r="M149" s="31"/>
      <c r="N149" s="34">
        <v>3</v>
      </c>
      <c r="O149" s="31"/>
      <c r="P149" s="176"/>
    </row>
    <row r="150" spans="1:16" ht="11.25" customHeight="1" x14ac:dyDescent="0.2">
      <c r="A150" s="66" t="s">
        <v>389</v>
      </c>
      <c r="B150" s="174" t="s">
        <v>330</v>
      </c>
      <c r="C150" s="163"/>
      <c r="D150" s="175"/>
      <c r="E150" s="61"/>
      <c r="F150" s="61"/>
      <c r="G150" s="61"/>
      <c r="H150" s="61"/>
      <c r="I150" s="63"/>
      <c r="J150" s="63"/>
      <c r="K150" s="63"/>
      <c r="L150" s="63"/>
      <c r="M150" s="31"/>
      <c r="N150" s="31"/>
      <c r="O150" s="31"/>
      <c r="P150" s="182" t="s">
        <v>237</v>
      </c>
    </row>
    <row r="151" spans="1:16" ht="11.25" customHeight="1" x14ac:dyDescent="0.2">
      <c r="A151" s="66" t="s">
        <v>390</v>
      </c>
      <c r="B151" s="174" t="s">
        <v>344</v>
      </c>
      <c r="C151" s="163"/>
      <c r="D151" s="177">
        <v>5</v>
      </c>
      <c r="E151" s="61"/>
      <c r="F151" s="61"/>
      <c r="G151" s="61"/>
      <c r="H151" s="61"/>
      <c r="I151" s="62">
        <v>5</v>
      </c>
      <c r="J151" s="63"/>
      <c r="K151" s="63"/>
      <c r="L151" s="63"/>
      <c r="M151" s="31"/>
      <c r="N151" s="31"/>
      <c r="O151" s="34">
        <v>2</v>
      </c>
      <c r="P151" s="176"/>
    </row>
    <row r="152" spans="1:16" ht="11.25" customHeight="1" x14ac:dyDescent="0.2">
      <c r="A152" s="66" t="s">
        <v>391</v>
      </c>
      <c r="B152" s="174" t="s">
        <v>330</v>
      </c>
      <c r="C152" s="163"/>
      <c r="D152" s="177">
        <v>2</v>
      </c>
      <c r="E152" s="61"/>
      <c r="F152" s="61"/>
      <c r="G152" s="61"/>
      <c r="H152" s="61"/>
      <c r="I152" s="62">
        <v>2</v>
      </c>
      <c r="J152" s="63"/>
      <c r="K152" s="62">
        <v>2</v>
      </c>
      <c r="L152" s="63"/>
      <c r="M152" s="31"/>
      <c r="N152" s="34">
        <v>2</v>
      </c>
      <c r="O152" s="34">
        <v>2</v>
      </c>
      <c r="P152" s="176"/>
    </row>
    <row r="153" spans="1:16" ht="11.25" customHeight="1" x14ac:dyDescent="0.2">
      <c r="A153" s="66" t="s">
        <v>392</v>
      </c>
      <c r="B153" s="174" t="s">
        <v>223</v>
      </c>
      <c r="C153" s="163"/>
      <c r="D153" s="178"/>
      <c r="E153" s="61"/>
      <c r="F153" s="61"/>
      <c r="G153" s="61"/>
      <c r="H153" s="61"/>
      <c r="I153" s="63"/>
      <c r="J153" s="63"/>
      <c r="K153" s="63"/>
      <c r="L153" s="63"/>
      <c r="M153" s="31"/>
      <c r="N153" s="31"/>
      <c r="O153" s="31"/>
      <c r="P153" s="182" t="s">
        <v>237</v>
      </c>
    </row>
    <row r="154" spans="1:16" ht="11.25" customHeight="1" x14ac:dyDescent="0.2">
      <c r="A154" s="66" t="s">
        <v>393</v>
      </c>
      <c r="B154" s="174" t="s">
        <v>344</v>
      </c>
      <c r="C154" s="163"/>
      <c r="D154" s="177" t="s">
        <v>169</v>
      </c>
      <c r="E154" s="61"/>
      <c r="F154" s="61"/>
      <c r="G154" s="61"/>
      <c r="H154" s="62" t="s">
        <v>217</v>
      </c>
      <c r="I154" s="62" t="s">
        <v>216</v>
      </c>
      <c r="J154" s="63"/>
      <c r="K154" s="63"/>
      <c r="L154" s="63"/>
      <c r="M154" s="34">
        <v>6</v>
      </c>
      <c r="N154" s="31"/>
      <c r="O154" s="34" t="s">
        <v>217</v>
      </c>
      <c r="P154" s="176"/>
    </row>
    <row r="155" spans="1:16" ht="11.25" customHeight="1" x14ac:dyDescent="0.2">
      <c r="A155" s="66" t="s">
        <v>461</v>
      </c>
      <c r="B155" s="174" t="s">
        <v>330</v>
      </c>
      <c r="C155" s="162"/>
      <c r="D155" s="177">
        <v>3</v>
      </c>
      <c r="E155" s="61"/>
      <c r="F155" s="61"/>
      <c r="G155" s="61"/>
      <c r="H155" s="61"/>
      <c r="I155" s="61"/>
      <c r="J155" s="61"/>
      <c r="K155" s="62">
        <v>3</v>
      </c>
      <c r="L155" s="61"/>
      <c r="M155" s="30"/>
      <c r="N155" s="34" t="s">
        <v>217</v>
      </c>
      <c r="O155" s="30"/>
      <c r="P155" s="176"/>
    </row>
    <row r="156" spans="1:16" ht="11.25" customHeight="1" x14ac:dyDescent="0.2">
      <c r="A156" s="66" t="s">
        <v>462</v>
      </c>
      <c r="B156" s="174" t="s">
        <v>332</v>
      </c>
      <c r="C156" s="162" t="s">
        <v>112</v>
      </c>
      <c r="D156" s="177" t="s">
        <v>220</v>
      </c>
      <c r="E156" s="63"/>
      <c r="F156" s="62" t="s">
        <v>362</v>
      </c>
      <c r="G156" s="63"/>
      <c r="H156" s="63"/>
      <c r="I156" s="62" t="s">
        <v>217</v>
      </c>
      <c r="J156" s="62">
        <v>3</v>
      </c>
      <c r="K156" s="63"/>
      <c r="L156" s="62">
        <v>3</v>
      </c>
      <c r="M156" s="34" t="s">
        <v>362</v>
      </c>
      <c r="N156" s="31"/>
      <c r="O156" s="34">
        <v>2</v>
      </c>
      <c r="P156" s="176" t="s">
        <v>323</v>
      </c>
    </row>
    <row r="157" spans="1:16" ht="11.25" customHeight="1" x14ac:dyDescent="0.2">
      <c r="A157" s="66" t="s">
        <v>463</v>
      </c>
      <c r="B157" s="174" t="s">
        <v>330</v>
      </c>
      <c r="C157" s="162"/>
      <c r="D157" s="178"/>
      <c r="E157" s="63"/>
      <c r="F157" s="63"/>
      <c r="G157" s="63"/>
      <c r="H157" s="63"/>
      <c r="I157" s="63"/>
      <c r="J157" s="63"/>
      <c r="K157" s="63"/>
      <c r="L157" s="62" t="s">
        <v>359</v>
      </c>
      <c r="M157" s="31"/>
      <c r="N157" s="34">
        <v>1</v>
      </c>
      <c r="O157" s="31"/>
      <c r="P157" s="176"/>
    </row>
    <row r="158" spans="1:16" ht="11.25" customHeight="1" thickBot="1" x14ac:dyDescent="0.25">
      <c r="A158" s="67" t="s">
        <v>464</v>
      </c>
      <c r="B158" s="183" t="s">
        <v>330</v>
      </c>
      <c r="C158" s="165"/>
      <c r="D158" s="184"/>
      <c r="E158" s="36">
        <v>1</v>
      </c>
      <c r="F158" s="37"/>
      <c r="G158" s="36">
        <v>3</v>
      </c>
      <c r="H158" s="37"/>
      <c r="I158" s="36" t="s">
        <v>170</v>
      </c>
      <c r="J158" s="37"/>
      <c r="K158" s="37"/>
      <c r="L158" s="37"/>
      <c r="M158" s="38"/>
      <c r="N158" s="39">
        <v>1</v>
      </c>
      <c r="O158" s="38"/>
      <c r="P158" s="185"/>
    </row>
    <row r="159" spans="1:16" ht="11.25" customHeight="1" thickTop="1" x14ac:dyDescent="0.2">
      <c r="A159" s="104" t="s">
        <v>118</v>
      </c>
      <c r="B159" s="8"/>
      <c r="C159" s="8"/>
      <c r="D159" s="8"/>
      <c r="E159" s="8"/>
      <c r="F159" s="8"/>
      <c r="G159" s="8"/>
      <c r="H159" s="8"/>
      <c r="I159" s="8"/>
      <c r="J159" s="8"/>
      <c r="K159" s="8"/>
      <c r="L159" s="40"/>
      <c r="M159" s="26"/>
      <c r="N159" s="26"/>
      <c r="O159" s="26"/>
      <c r="P159" s="186"/>
    </row>
    <row r="160" spans="1:16" ht="11.25" customHeight="1" x14ac:dyDescent="0.2">
      <c r="A160" s="41" t="s">
        <v>349</v>
      </c>
      <c r="B160" s="8"/>
      <c r="C160" s="8"/>
      <c r="D160" s="8"/>
      <c r="E160" s="8"/>
      <c r="F160" s="8"/>
      <c r="G160" s="8"/>
      <c r="H160" s="8"/>
      <c r="I160" s="8"/>
      <c r="J160" s="8"/>
      <c r="K160" s="8"/>
      <c r="L160" s="40"/>
      <c r="M160" s="26"/>
      <c r="N160" s="26"/>
      <c r="O160" s="26"/>
      <c r="P160" s="186"/>
    </row>
    <row r="161" spans="1:16" ht="11.25" customHeight="1" x14ac:dyDescent="0.2">
      <c r="A161" s="41" t="s">
        <v>530</v>
      </c>
      <c r="B161" s="8"/>
      <c r="C161" s="8"/>
      <c r="D161" s="8"/>
      <c r="E161" s="8"/>
      <c r="F161" s="8"/>
      <c r="G161" s="8"/>
      <c r="H161" s="8"/>
      <c r="I161" s="8"/>
      <c r="J161" s="8"/>
      <c r="K161" s="8"/>
      <c r="L161" s="40"/>
      <c r="M161" s="26"/>
      <c r="N161" s="26"/>
      <c r="O161" s="26"/>
      <c r="P161" s="186"/>
    </row>
    <row r="162" spans="1:16" ht="11.25" customHeight="1" x14ac:dyDescent="0.2">
      <c r="A162" s="41" t="s">
        <v>257</v>
      </c>
      <c r="B162" s="8"/>
      <c r="C162" s="8"/>
      <c r="D162" s="8"/>
      <c r="E162" s="8"/>
      <c r="F162" s="8"/>
      <c r="G162" s="8"/>
      <c r="H162" s="8"/>
      <c r="I162" s="8"/>
      <c r="J162" s="8"/>
      <c r="K162" s="8"/>
      <c r="L162" s="40"/>
      <c r="M162" s="26"/>
      <c r="N162" s="26"/>
      <c r="O162" s="26"/>
      <c r="P162" s="186"/>
    </row>
    <row r="163" spans="1:16" ht="11.25" customHeight="1" x14ac:dyDescent="0.2">
      <c r="A163" s="41" t="s">
        <v>42</v>
      </c>
      <c r="B163" s="8"/>
      <c r="C163" s="8"/>
      <c r="D163" s="8"/>
      <c r="E163" s="8"/>
      <c r="F163" s="8"/>
      <c r="G163" s="8"/>
      <c r="H163" s="8"/>
      <c r="I163" s="8"/>
      <c r="J163" s="8"/>
      <c r="K163" s="8"/>
      <c r="L163" s="40"/>
      <c r="M163" s="26"/>
      <c r="N163" s="26"/>
      <c r="O163" s="26"/>
      <c r="P163" s="186"/>
    </row>
    <row r="164" spans="1:16" ht="11.25" customHeight="1" x14ac:dyDescent="0.2">
      <c r="A164" s="187"/>
      <c r="B164" s="8"/>
      <c r="C164" s="8"/>
      <c r="D164" s="8"/>
      <c r="E164" s="8"/>
      <c r="F164" s="8"/>
      <c r="G164" s="8"/>
      <c r="H164" s="8"/>
      <c r="I164" s="8"/>
      <c r="J164" s="8"/>
      <c r="K164" s="8"/>
      <c r="L164" s="40"/>
      <c r="M164" s="26"/>
      <c r="N164" s="26"/>
      <c r="O164" s="26"/>
      <c r="P164" s="186"/>
    </row>
    <row r="165" spans="1:16" ht="11.25" customHeight="1" x14ac:dyDescent="0.2">
      <c r="A165" s="42" t="s">
        <v>423</v>
      </c>
      <c r="B165" s="8"/>
      <c r="C165" s="8"/>
      <c r="D165" s="8"/>
      <c r="E165" s="8"/>
      <c r="F165" s="8"/>
      <c r="G165" s="8"/>
      <c r="H165" s="8"/>
      <c r="I165" s="8"/>
      <c r="J165" s="8"/>
      <c r="K165" s="8"/>
      <c r="L165" s="40"/>
      <c r="M165" s="26"/>
      <c r="N165" s="26"/>
      <c r="O165" s="26"/>
      <c r="P165" s="186"/>
    </row>
    <row r="166" spans="1:16" ht="11.25" customHeight="1" x14ac:dyDescent="0.2">
      <c r="A166" s="43" t="s">
        <v>424</v>
      </c>
      <c r="B166" s="8"/>
      <c r="C166" s="8"/>
      <c r="D166" s="8"/>
      <c r="E166" s="8"/>
      <c r="F166" s="8"/>
      <c r="G166" s="8"/>
      <c r="H166" s="8"/>
      <c r="I166" s="8"/>
      <c r="J166" s="8"/>
      <c r="K166" s="8"/>
      <c r="L166" s="40"/>
      <c r="M166" s="26"/>
      <c r="N166" s="26"/>
      <c r="O166" s="26"/>
      <c r="P166" s="186"/>
    </row>
    <row r="167" spans="1:16" ht="11.25" customHeight="1" x14ac:dyDescent="0.2">
      <c r="A167" s="43" t="s">
        <v>425</v>
      </c>
      <c r="B167" s="8"/>
      <c r="C167" s="8"/>
      <c r="D167" s="8"/>
      <c r="E167" s="8"/>
      <c r="F167" s="8"/>
      <c r="G167" s="8"/>
      <c r="H167" s="8"/>
      <c r="I167" s="8"/>
      <c r="J167" s="8"/>
      <c r="K167" s="8"/>
      <c r="L167" s="40"/>
      <c r="M167" s="26"/>
      <c r="N167" s="26"/>
      <c r="O167" s="26"/>
      <c r="P167" s="186"/>
    </row>
    <row r="168" spans="1:16" ht="11.25" customHeight="1" x14ac:dyDescent="0.2">
      <c r="A168" s="43" t="s">
        <v>426</v>
      </c>
      <c r="B168" s="8"/>
      <c r="C168" s="8"/>
      <c r="D168" s="8"/>
      <c r="E168" s="8"/>
      <c r="F168" s="8"/>
      <c r="G168" s="8"/>
      <c r="H168" s="8"/>
      <c r="I168" s="8"/>
      <c r="J168" s="8"/>
      <c r="K168" s="8"/>
      <c r="L168" s="40"/>
      <c r="M168" s="26"/>
      <c r="N168" s="26"/>
      <c r="O168" s="26"/>
      <c r="P168" s="186"/>
    </row>
    <row r="169" spans="1:16" ht="11.25" customHeight="1" x14ac:dyDescent="0.2">
      <c r="A169" s="43" t="s">
        <v>427</v>
      </c>
      <c r="B169" s="8"/>
      <c r="C169" s="8"/>
      <c r="D169" s="8"/>
      <c r="E169" s="8"/>
      <c r="F169" s="8"/>
      <c r="G169" s="8"/>
      <c r="H169" s="8"/>
      <c r="I169" s="8"/>
      <c r="J169" s="8"/>
      <c r="K169" s="8"/>
      <c r="L169" s="40"/>
      <c r="M169" s="26"/>
      <c r="N169" s="26"/>
      <c r="O169" s="26"/>
      <c r="P169" s="186"/>
    </row>
    <row r="170" spans="1:16" ht="11.25" customHeight="1" x14ac:dyDescent="0.2">
      <c r="A170" s="43" t="s">
        <v>428</v>
      </c>
      <c r="B170" s="8"/>
      <c r="C170" s="8"/>
      <c r="D170" s="8"/>
      <c r="E170" s="8"/>
      <c r="F170" s="8"/>
      <c r="G170" s="8"/>
      <c r="H170" s="8"/>
      <c r="I170" s="8"/>
      <c r="J170" s="8"/>
      <c r="K170" s="8"/>
      <c r="L170" s="40"/>
      <c r="M170" s="26"/>
      <c r="N170" s="26"/>
      <c r="O170" s="26"/>
      <c r="P170" s="186"/>
    </row>
    <row r="171" spans="1:16" ht="11.25" customHeight="1" x14ac:dyDescent="0.2">
      <c r="A171" s="43" t="s">
        <v>429</v>
      </c>
      <c r="B171" s="8"/>
      <c r="C171" s="8"/>
      <c r="D171" s="8"/>
      <c r="E171" s="8"/>
      <c r="F171" s="8"/>
      <c r="G171" s="8"/>
      <c r="H171" s="8"/>
      <c r="I171" s="8"/>
      <c r="J171" s="8"/>
      <c r="K171" s="8"/>
      <c r="L171" s="40"/>
      <c r="M171" s="26"/>
      <c r="N171" s="26"/>
      <c r="O171" s="26"/>
      <c r="P171" s="186"/>
    </row>
    <row r="172" spans="1:16" ht="11.25" customHeight="1" x14ac:dyDescent="0.2">
      <c r="A172" s="187"/>
      <c r="B172" s="8"/>
      <c r="C172" s="2"/>
      <c r="D172" s="8"/>
      <c r="E172" s="8"/>
      <c r="F172" s="8"/>
      <c r="G172" s="8"/>
      <c r="H172" s="8"/>
      <c r="I172" s="8"/>
      <c r="J172" s="8"/>
      <c r="K172" s="8"/>
      <c r="L172" s="40"/>
      <c r="M172" s="26"/>
      <c r="N172" s="26"/>
      <c r="O172" s="26"/>
      <c r="P172" s="186"/>
    </row>
    <row r="173" spans="1:16" s="4" customFormat="1" ht="11.25" customHeight="1" x14ac:dyDescent="0.2">
      <c r="A173" s="42" t="s">
        <v>409</v>
      </c>
      <c r="B173" s="2"/>
      <c r="C173" s="44"/>
      <c r="D173" s="17"/>
      <c r="E173" s="17"/>
      <c r="F173" s="17"/>
      <c r="G173" s="17"/>
      <c r="H173" s="17"/>
      <c r="I173" s="17"/>
      <c r="J173" s="17"/>
      <c r="K173" s="17"/>
      <c r="L173" s="17"/>
      <c r="M173" s="18"/>
      <c r="N173" s="18"/>
      <c r="O173" s="18"/>
      <c r="P173" s="188"/>
    </row>
    <row r="174" spans="1:16" s="4" customFormat="1" ht="11.25" customHeight="1" x14ac:dyDescent="0.2">
      <c r="A174" s="142" t="s">
        <v>171</v>
      </c>
      <c r="B174" s="44"/>
      <c r="C174" s="44"/>
      <c r="D174" s="17"/>
      <c r="E174" s="17"/>
      <c r="F174" s="17"/>
      <c r="G174" s="17"/>
      <c r="H174" s="17"/>
      <c r="I174" s="17"/>
      <c r="J174" s="17"/>
      <c r="K174" s="17"/>
      <c r="L174" s="17"/>
      <c r="M174" s="18"/>
      <c r="N174" s="18"/>
      <c r="O174" s="18"/>
      <c r="P174" s="188"/>
    </row>
    <row r="175" spans="1:16" s="4" customFormat="1" ht="11.25" customHeight="1" x14ac:dyDescent="0.2">
      <c r="A175" s="142" t="s">
        <v>172</v>
      </c>
      <c r="B175" s="44"/>
      <c r="C175" s="44"/>
      <c r="D175" s="17"/>
      <c r="E175" s="17"/>
      <c r="F175" s="17"/>
      <c r="G175" s="17"/>
      <c r="H175" s="17"/>
      <c r="I175" s="17"/>
      <c r="J175" s="17"/>
      <c r="K175" s="17"/>
      <c r="L175" s="17"/>
      <c r="M175" s="18"/>
      <c r="N175" s="18"/>
      <c r="O175" s="18"/>
      <c r="P175" s="188"/>
    </row>
    <row r="176" spans="1:16" s="4" customFormat="1" ht="11.25" customHeight="1" x14ac:dyDescent="0.2">
      <c r="A176" s="142" t="s">
        <v>173</v>
      </c>
      <c r="B176" s="44"/>
      <c r="C176" s="44"/>
      <c r="D176" s="17"/>
      <c r="E176" s="17"/>
      <c r="F176" s="17"/>
      <c r="G176" s="17"/>
      <c r="H176" s="17"/>
      <c r="I176" s="17"/>
      <c r="J176" s="17"/>
      <c r="K176" s="17"/>
      <c r="L176" s="17"/>
      <c r="M176" s="18"/>
      <c r="N176" s="18"/>
      <c r="O176" s="18"/>
      <c r="P176" s="188"/>
    </row>
    <row r="177" spans="1:17" s="4" customFormat="1" ht="11.25" customHeight="1" x14ac:dyDescent="0.2">
      <c r="A177" s="142" t="s">
        <v>43</v>
      </c>
      <c r="B177" s="19"/>
      <c r="C177" s="44"/>
      <c r="D177" s="17"/>
      <c r="E177" s="17"/>
      <c r="F177" s="17"/>
      <c r="G177" s="17"/>
      <c r="H177" s="17"/>
      <c r="I177" s="17"/>
      <c r="J177" s="17"/>
      <c r="K177" s="17"/>
      <c r="L177" s="17"/>
      <c r="M177" s="18"/>
      <c r="N177" s="18"/>
      <c r="O177" s="18"/>
      <c r="P177" s="188"/>
    </row>
    <row r="178" spans="1:17" s="4" customFormat="1" ht="11.25" customHeight="1" x14ac:dyDescent="0.2">
      <c r="A178" s="142" t="s">
        <v>312</v>
      </c>
      <c r="B178" s="19"/>
      <c r="C178" s="19"/>
      <c r="D178" s="17"/>
      <c r="E178" s="17"/>
      <c r="F178" s="17"/>
      <c r="G178" s="17"/>
      <c r="H178" s="17"/>
      <c r="I178" s="17"/>
      <c r="J178" s="17"/>
      <c r="K178" s="17"/>
      <c r="L178" s="17"/>
      <c r="M178" s="18"/>
      <c r="N178" s="18"/>
      <c r="O178" s="18"/>
      <c r="P178" s="188"/>
    </row>
    <row r="179" spans="1:17" s="4" customFormat="1" ht="11.25" customHeight="1" x14ac:dyDescent="0.2">
      <c r="A179" s="142" t="s">
        <v>313</v>
      </c>
      <c r="B179" s="44"/>
      <c r="C179" s="19"/>
      <c r="D179" s="17"/>
      <c r="E179" s="17"/>
      <c r="F179" s="17"/>
      <c r="G179" s="17"/>
      <c r="H179" s="17"/>
      <c r="I179" s="17"/>
      <c r="J179" s="17"/>
      <c r="K179" s="17"/>
      <c r="L179" s="17"/>
      <c r="M179" s="18"/>
      <c r="N179" s="18"/>
      <c r="O179" s="18"/>
      <c r="P179" s="188"/>
    </row>
    <row r="180" spans="1:17" s="4" customFormat="1" ht="11.25" customHeight="1" x14ac:dyDescent="0.2">
      <c r="A180" s="506" t="s">
        <v>314</v>
      </c>
      <c r="B180" s="507"/>
      <c r="C180" s="507"/>
      <c r="D180" s="507"/>
      <c r="E180" s="507"/>
      <c r="F180" s="507"/>
      <c r="G180" s="507"/>
      <c r="H180" s="507"/>
      <c r="I180" s="507"/>
      <c r="J180" s="507"/>
      <c r="K180" s="507"/>
      <c r="L180" s="507"/>
      <c r="M180" s="507"/>
      <c r="N180" s="507"/>
      <c r="O180" s="507"/>
      <c r="P180" s="502"/>
    </row>
    <row r="181" spans="1:17" s="4" customFormat="1" ht="11.25" customHeight="1" x14ac:dyDescent="0.2">
      <c r="A181" s="474"/>
      <c r="B181" s="507"/>
      <c r="C181" s="507"/>
      <c r="D181" s="507"/>
      <c r="E181" s="507"/>
      <c r="F181" s="507"/>
      <c r="G181" s="507"/>
      <c r="H181" s="507"/>
      <c r="I181" s="507"/>
      <c r="J181" s="507"/>
      <c r="K181" s="507"/>
      <c r="L181" s="507"/>
      <c r="M181" s="507"/>
      <c r="N181" s="507"/>
      <c r="O181" s="507"/>
      <c r="P181" s="502"/>
    </row>
    <row r="182" spans="1:17" s="4" customFormat="1" ht="11.25" customHeight="1" x14ac:dyDescent="0.2">
      <c r="A182" s="43" t="s">
        <v>315</v>
      </c>
      <c r="B182" s="17"/>
      <c r="C182" s="44"/>
      <c r="D182" s="17"/>
      <c r="E182" s="17"/>
      <c r="F182" s="17"/>
      <c r="G182" s="17"/>
      <c r="H182" s="17"/>
      <c r="I182" s="17"/>
      <c r="J182" s="17"/>
      <c r="K182" s="17"/>
      <c r="L182" s="17"/>
      <c r="M182" s="18"/>
      <c r="N182" s="18"/>
      <c r="O182" s="18"/>
      <c r="P182" s="188"/>
    </row>
    <row r="183" spans="1:17" s="4" customFormat="1" ht="11.25" customHeight="1" x14ac:dyDescent="0.2">
      <c r="A183" s="142" t="s">
        <v>258</v>
      </c>
      <c r="B183" s="17"/>
      <c r="C183" s="17"/>
      <c r="D183" s="17"/>
      <c r="E183" s="17"/>
      <c r="F183" s="17"/>
      <c r="G183" s="17"/>
      <c r="H183" s="17"/>
      <c r="I183" s="17"/>
      <c r="J183" s="17"/>
      <c r="K183" s="17"/>
      <c r="L183" s="17"/>
      <c r="M183" s="18"/>
      <c r="N183" s="18"/>
      <c r="O183" s="18"/>
      <c r="P183" s="188"/>
    </row>
    <row r="184" spans="1:17" s="4" customFormat="1" ht="11.25" customHeight="1" x14ac:dyDescent="0.2">
      <c r="A184" s="43" t="s">
        <v>316</v>
      </c>
      <c r="B184" s="17"/>
      <c r="C184" s="17"/>
      <c r="D184" s="17"/>
      <c r="E184" s="17"/>
      <c r="F184" s="17"/>
      <c r="G184" s="17"/>
      <c r="H184" s="17"/>
      <c r="I184" s="17"/>
      <c r="J184" s="17"/>
      <c r="K184" s="17"/>
      <c r="L184" s="17"/>
      <c r="M184" s="18"/>
      <c r="N184" s="18"/>
      <c r="O184" s="18"/>
      <c r="P184" s="188"/>
    </row>
    <row r="185" spans="1:17" s="4" customFormat="1" ht="11.25" customHeight="1" x14ac:dyDescent="0.2">
      <c r="A185" s="43" t="s">
        <v>259</v>
      </c>
      <c r="B185" s="17"/>
      <c r="C185" s="17"/>
      <c r="D185" s="17"/>
      <c r="E185" s="17"/>
      <c r="F185" s="17"/>
      <c r="G185" s="17"/>
      <c r="H185" s="17"/>
      <c r="I185" s="17"/>
      <c r="J185" s="17"/>
      <c r="K185" s="17"/>
      <c r="L185" s="17"/>
      <c r="M185" s="18"/>
      <c r="N185" s="18"/>
      <c r="O185" s="18"/>
      <c r="P185" s="188"/>
    </row>
    <row r="186" spans="1:17" s="4" customFormat="1" ht="11.25" customHeight="1" x14ac:dyDescent="0.2">
      <c r="A186" s="508" t="s">
        <v>40</v>
      </c>
      <c r="B186" s="507"/>
      <c r="C186" s="507"/>
      <c r="D186" s="507"/>
      <c r="E186" s="507"/>
      <c r="F186" s="507"/>
      <c r="G186" s="507"/>
      <c r="H186" s="507"/>
      <c r="I186" s="507"/>
      <c r="J186" s="507"/>
      <c r="K186" s="507"/>
      <c r="L186" s="507"/>
      <c r="M186" s="507"/>
      <c r="N186" s="507"/>
      <c r="O186" s="507"/>
      <c r="P186" s="502"/>
    </row>
    <row r="187" spans="1:17" s="4" customFormat="1" ht="11.25" customHeight="1" x14ac:dyDescent="0.2">
      <c r="A187" s="474"/>
      <c r="B187" s="507"/>
      <c r="C187" s="507"/>
      <c r="D187" s="507"/>
      <c r="E187" s="507"/>
      <c r="F187" s="507"/>
      <c r="G187" s="507"/>
      <c r="H187" s="507"/>
      <c r="I187" s="507"/>
      <c r="J187" s="507"/>
      <c r="K187" s="507"/>
      <c r="L187" s="507"/>
      <c r="M187" s="507"/>
      <c r="N187" s="507"/>
      <c r="O187" s="507"/>
      <c r="P187" s="502"/>
    </row>
    <row r="188" spans="1:17" s="4" customFormat="1" ht="11.25" customHeight="1" x14ac:dyDescent="0.2">
      <c r="A188" s="41" t="s">
        <v>317</v>
      </c>
      <c r="B188" s="17"/>
      <c r="C188" s="17"/>
      <c r="D188" s="17"/>
      <c r="E188" s="17"/>
      <c r="F188" s="17"/>
      <c r="G188" s="17"/>
      <c r="H188" s="17"/>
      <c r="I188" s="17"/>
      <c r="J188" s="17"/>
      <c r="K188" s="17"/>
      <c r="L188" s="17"/>
      <c r="M188" s="17"/>
      <c r="N188" s="18"/>
      <c r="O188" s="18"/>
      <c r="P188" s="25"/>
      <c r="Q188" s="189"/>
    </row>
    <row r="189" spans="1:17" s="4" customFormat="1" ht="11.25" customHeight="1" thickBot="1" x14ac:dyDescent="0.25">
      <c r="A189" s="45" t="s">
        <v>41</v>
      </c>
      <c r="B189" s="20"/>
      <c r="C189" s="20"/>
      <c r="D189" s="20"/>
      <c r="E189" s="20"/>
      <c r="F189" s="20"/>
      <c r="G189" s="20"/>
      <c r="H189" s="20"/>
      <c r="I189" s="20"/>
      <c r="J189" s="20"/>
      <c r="K189" s="20"/>
      <c r="L189" s="20"/>
      <c r="M189" s="21"/>
      <c r="N189" s="21"/>
      <c r="O189" s="21"/>
      <c r="P189" s="190"/>
    </row>
    <row r="190" spans="1:17" s="4" customFormat="1" ht="11.25" customHeight="1" thickTop="1" x14ac:dyDescent="0.2">
      <c r="A190" s="120"/>
      <c r="M190" s="22"/>
      <c r="N190" s="22"/>
      <c r="O190" s="22"/>
      <c r="P190" s="191"/>
    </row>
    <row r="191" spans="1:17" s="4" customFormat="1" ht="12.75" x14ac:dyDescent="0.2">
      <c r="A191" s="120"/>
      <c r="M191" s="22"/>
      <c r="N191" s="22"/>
      <c r="O191" s="22"/>
      <c r="P191" s="191"/>
    </row>
    <row r="192" spans="1:17" s="4" customFormat="1" ht="12.75" x14ac:dyDescent="0.2">
      <c r="A192" s="120"/>
      <c r="M192" s="22"/>
      <c r="N192" s="22"/>
      <c r="O192" s="22"/>
      <c r="P192" s="191"/>
    </row>
    <row r="193" spans="1:16" s="4" customFormat="1" ht="12.75" x14ac:dyDescent="0.2">
      <c r="A193" s="120"/>
      <c r="M193" s="22"/>
      <c r="N193" s="22"/>
      <c r="O193" s="22"/>
      <c r="P193" s="191"/>
    </row>
    <row r="194" spans="1:16" s="4" customFormat="1" ht="12.75" x14ac:dyDescent="0.2">
      <c r="A194" s="120"/>
      <c r="M194" s="22"/>
      <c r="N194" s="22"/>
      <c r="O194" s="22"/>
      <c r="P194" s="191"/>
    </row>
    <row r="195" spans="1:16" s="4" customFormat="1" ht="12.75" x14ac:dyDescent="0.2">
      <c r="A195" s="120"/>
      <c r="M195" s="22"/>
      <c r="N195" s="22"/>
      <c r="O195" s="22"/>
      <c r="P195" s="191"/>
    </row>
    <row r="196" spans="1:16" s="4" customFormat="1" ht="12.75" x14ac:dyDescent="0.2">
      <c r="A196" s="120"/>
      <c r="M196" s="22"/>
      <c r="N196" s="22"/>
      <c r="O196" s="22"/>
      <c r="P196" s="191"/>
    </row>
    <row r="197" spans="1:16" s="4" customFormat="1" ht="12.75" x14ac:dyDescent="0.2">
      <c r="A197" s="120"/>
      <c r="M197" s="22"/>
      <c r="N197" s="22"/>
      <c r="O197" s="22"/>
      <c r="P197" s="191"/>
    </row>
    <row r="198" spans="1:16" s="4" customFormat="1" ht="12.75" x14ac:dyDescent="0.2">
      <c r="A198" s="120"/>
      <c r="M198" s="22"/>
      <c r="N198" s="22"/>
      <c r="O198" s="22"/>
      <c r="P198" s="191"/>
    </row>
    <row r="199" spans="1:16" s="4" customFormat="1" ht="12.75" x14ac:dyDescent="0.2">
      <c r="A199" s="120"/>
      <c r="M199" s="22"/>
      <c r="N199" s="22"/>
      <c r="O199" s="22"/>
      <c r="P199" s="191"/>
    </row>
    <row r="200" spans="1:16" s="4" customFormat="1" ht="12.75" x14ac:dyDescent="0.2">
      <c r="A200" s="120"/>
      <c r="M200" s="22"/>
      <c r="N200" s="22"/>
      <c r="O200" s="22"/>
      <c r="P200" s="191"/>
    </row>
    <row r="201" spans="1:16" s="4" customFormat="1" ht="12.75" x14ac:dyDescent="0.2">
      <c r="A201" s="120"/>
      <c r="M201" s="22"/>
      <c r="N201" s="22"/>
      <c r="O201" s="22"/>
      <c r="P201" s="191"/>
    </row>
    <row r="202" spans="1:16" s="4" customFormat="1" ht="12.75" x14ac:dyDescent="0.2">
      <c r="A202" s="120"/>
      <c r="M202" s="22"/>
      <c r="N202" s="22"/>
      <c r="O202" s="22"/>
      <c r="P202" s="191"/>
    </row>
    <row r="203" spans="1:16" s="4" customFormat="1" ht="12.75" x14ac:dyDescent="0.2">
      <c r="A203" s="120"/>
      <c r="M203" s="22"/>
      <c r="N203" s="22"/>
      <c r="O203" s="22"/>
      <c r="P203" s="191"/>
    </row>
    <row r="204" spans="1:16" s="4" customFormat="1" ht="12.75" x14ac:dyDescent="0.2">
      <c r="A204" s="120"/>
      <c r="M204" s="22"/>
      <c r="N204" s="22"/>
      <c r="O204" s="22"/>
      <c r="P204" s="191"/>
    </row>
    <row r="205" spans="1:16" s="4" customFormat="1" ht="12.75" x14ac:dyDescent="0.2">
      <c r="A205" s="120"/>
      <c r="M205" s="22"/>
      <c r="N205" s="22"/>
      <c r="O205" s="22"/>
      <c r="P205" s="191"/>
    </row>
    <row r="206" spans="1:16" s="4" customFormat="1" ht="12.75" x14ac:dyDescent="0.2">
      <c r="A206" s="120"/>
      <c r="M206" s="22"/>
      <c r="N206" s="22"/>
      <c r="O206" s="22"/>
      <c r="P206" s="191"/>
    </row>
    <row r="207" spans="1:16" s="4" customFormat="1" ht="12.75" x14ac:dyDescent="0.2">
      <c r="A207" s="120"/>
      <c r="M207" s="22"/>
      <c r="N207" s="22"/>
      <c r="O207" s="22"/>
      <c r="P207" s="191"/>
    </row>
    <row r="208" spans="1:16" s="4" customFormat="1" ht="12.75" x14ac:dyDescent="0.2">
      <c r="A208" s="120"/>
      <c r="M208" s="22"/>
      <c r="N208" s="22"/>
      <c r="O208" s="22"/>
      <c r="P208" s="191"/>
    </row>
    <row r="209" spans="1:16" s="4" customFormat="1" ht="12.75" x14ac:dyDescent="0.2">
      <c r="A209" s="120"/>
      <c r="M209" s="22"/>
      <c r="N209" s="22"/>
      <c r="O209" s="22"/>
      <c r="P209" s="191"/>
    </row>
    <row r="210" spans="1:16" s="4" customFormat="1" ht="12.75" x14ac:dyDescent="0.2">
      <c r="A210" s="120"/>
      <c r="M210" s="22"/>
      <c r="N210" s="22"/>
      <c r="O210" s="22"/>
      <c r="P210" s="191"/>
    </row>
    <row r="211" spans="1:16" s="4" customFormat="1" ht="12.75" x14ac:dyDescent="0.2">
      <c r="A211" s="120"/>
      <c r="M211" s="22"/>
      <c r="N211" s="22"/>
      <c r="O211" s="22"/>
      <c r="P211" s="191"/>
    </row>
    <row r="212" spans="1:16" s="4" customFormat="1" ht="12.75" x14ac:dyDescent="0.2">
      <c r="A212" s="120"/>
      <c r="M212" s="22"/>
      <c r="N212" s="22"/>
      <c r="O212" s="22"/>
      <c r="P212" s="191"/>
    </row>
    <row r="213" spans="1:16" s="4" customFormat="1" ht="12.75" x14ac:dyDescent="0.2">
      <c r="A213" s="120"/>
      <c r="M213" s="22"/>
      <c r="N213" s="22"/>
      <c r="O213" s="22"/>
      <c r="P213" s="191"/>
    </row>
    <row r="214" spans="1:16" s="4" customFormat="1" ht="12.75" x14ac:dyDescent="0.2">
      <c r="A214" s="120"/>
      <c r="M214" s="22"/>
      <c r="N214" s="22"/>
      <c r="O214" s="22"/>
      <c r="P214" s="191"/>
    </row>
    <row r="215" spans="1:16" s="4" customFormat="1" ht="12.75" x14ac:dyDescent="0.2">
      <c r="A215" s="120"/>
      <c r="M215" s="22"/>
      <c r="N215" s="22"/>
      <c r="O215" s="22"/>
      <c r="P215" s="191"/>
    </row>
    <row r="216" spans="1:16" s="4" customFormat="1" ht="12.75" x14ac:dyDescent="0.2">
      <c r="A216" s="120"/>
      <c r="M216" s="22"/>
      <c r="N216" s="22"/>
      <c r="O216" s="22"/>
      <c r="P216" s="191"/>
    </row>
    <row r="217" spans="1:16" s="4" customFormat="1" ht="12.75" x14ac:dyDescent="0.2">
      <c r="A217" s="120"/>
      <c r="M217" s="22"/>
      <c r="N217" s="22"/>
      <c r="O217" s="22"/>
      <c r="P217" s="191"/>
    </row>
    <row r="218" spans="1:16" s="4" customFormat="1" ht="12.75" x14ac:dyDescent="0.2">
      <c r="A218" s="120"/>
      <c r="M218" s="22"/>
      <c r="N218" s="22"/>
      <c r="O218" s="22"/>
      <c r="P218" s="191"/>
    </row>
    <row r="219" spans="1:16" s="4" customFormat="1" ht="12.75" x14ac:dyDescent="0.2">
      <c r="A219" s="120"/>
      <c r="M219" s="22"/>
      <c r="N219" s="22"/>
      <c r="O219" s="22"/>
      <c r="P219" s="191"/>
    </row>
    <row r="220" spans="1:16" s="4" customFormat="1" ht="12.75" x14ac:dyDescent="0.2">
      <c r="A220" s="120"/>
      <c r="M220" s="22"/>
      <c r="N220" s="22"/>
      <c r="O220" s="22"/>
      <c r="P220" s="191"/>
    </row>
    <row r="221" spans="1:16" s="4" customFormat="1" ht="12.75" x14ac:dyDescent="0.2">
      <c r="A221" s="120"/>
      <c r="M221" s="22"/>
      <c r="N221" s="22"/>
      <c r="O221" s="22"/>
      <c r="P221" s="191"/>
    </row>
    <row r="222" spans="1:16" s="4" customFormat="1" ht="12.75" x14ac:dyDescent="0.2">
      <c r="A222" s="120"/>
      <c r="M222" s="22"/>
      <c r="N222" s="22"/>
      <c r="O222" s="22"/>
      <c r="P222" s="191"/>
    </row>
    <row r="223" spans="1:16" s="4" customFormat="1" ht="12.75" x14ac:dyDescent="0.2">
      <c r="A223" s="120"/>
      <c r="M223" s="22"/>
      <c r="N223" s="22"/>
      <c r="O223" s="22"/>
      <c r="P223" s="191"/>
    </row>
    <row r="224" spans="1:16" s="4" customFormat="1" ht="12.75" x14ac:dyDescent="0.2">
      <c r="A224" s="120"/>
      <c r="M224" s="22"/>
      <c r="N224" s="22"/>
      <c r="O224" s="22"/>
      <c r="P224" s="191"/>
    </row>
    <row r="225" spans="1:16" s="4" customFormat="1" ht="12.75" x14ac:dyDescent="0.2">
      <c r="A225" s="120"/>
      <c r="C225" s="6"/>
      <c r="M225" s="22"/>
      <c r="N225" s="22"/>
      <c r="O225" s="22"/>
      <c r="P225" s="191"/>
    </row>
    <row r="226" spans="1:16" s="4" customFormat="1" ht="12.75" x14ac:dyDescent="0.2">
      <c r="A226" s="120"/>
      <c r="C226" s="6"/>
      <c r="M226" s="22"/>
      <c r="N226" s="22"/>
      <c r="O226" s="22"/>
      <c r="P226" s="191"/>
    </row>
    <row r="227" spans="1:16" x14ac:dyDescent="0.2">
      <c r="M227" s="23"/>
      <c r="N227" s="23"/>
      <c r="O227" s="23"/>
    </row>
    <row r="228" spans="1:16" x14ac:dyDescent="0.2">
      <c r="M228" s="23"/>
      <c r="N228" s="23"/>
      <c r="O228" s="23"/>
    </row>
    <row r="229" spans="1:16" x14ac:dyDescent="0.2">
      <c r="M229" s="23"/>
      <c r="N229" s="23"/>
      <c r="O229" s="23"/>
    </row>
    <row r="230" spans="1:16" x14ac:dyDescent="0.2">
      <c r="M230" s="23"/>
      <c r="N230" s="23"/>
      <c r="O230" s="23"/>
    </row>
    <row r="231" spans="1:16" x14ac:dyDescent="0.2">
      <c r="M231" s="23"/>
      <c r="N231" s="23"/>
      <c r="O231" s="23"/>
    </row>
    <row r="232" spans="1:16" x14ac:dyDescent="0.2">
      <c r="M232" s="23"/>
      <c r="N232" s="23"/>
      <c r="O232" s="23"/>
    </row>
    <row r="233" spans="1:16" x14ac:dyDescent="0.2">
      <c r="M233" s="23"/>
      <c r="N233" s="23"/>
      <c r="O233" s="23"/>
    </row>
    <row r="234" spans="1:16" x14ac:dyDescent="0.2">
      <c r="M234" s="23"/>
      <c r="N234" s="23"/>
      <c r="O234" s="23"/>
    </row>
    <row r="235" spans="1:16" x14ac:dyDescent="0.2">
      <c r="M235" s="23"/>
      <c r="N235" s="23"/>
      <c r="O235" s="23"/>
    </row>
    <row r="236" spans="1:16" x14ac:dyDescent="0.2">
      <c r="M236" s="23"/>
      <c r="N236" s="23"/>
      <c r="O236" s="23"/>
    </row>
    <row r="237" spans="1:16" x14ac:dyDescent="0.2">
      <c r="M237" s="23"/>
      <c r="N237" s="23"/>
      <c r="O237" s="23"/>
    </row>
    <row r="238" spans="1:16" x14ac:dyDescent="0.2">
      <c r="M238" s="23"/>
      <c r="N238" s="23"/>
      <c r="O238" s="23"/>
    </row>
    <row r="239" spans="1:16" x14ac:dyDescent="0.2">
      <c r="M239" s="23"/>
      <c r="N239" s="23"/>
      <c r="O239" s="23"/>
    </row>
    <row r="240" spans="1:16" x14ac:dyDescent="0.2">
      <c r="M240" s="23"/>
      <c r="N240" s="23"/>
      <c r="O240" s="23"/>
    </row>
    <row r="241" spans="13:15" x14ac:dyDescent="0.2">
      <c r="M241" s="23"/>
      <c r="N241" s="23"/>
      <c r="O241" s="23"/>
    </row>
    <row r="242" spans="13:15" x14ac:dyDescent="0.2">
      <c r="M242" s="23"/>
      <c r="N242" s="23"/>
      <c r="O242" s="23"/>
    </row>
    <row r="243" spans="13:15" x14ac:dyDescent="0.2">
      <c r="M243" s="23"/>
      <c r="N243" s="23"/>
      <c r="O243" s="23"/>
    </row>
    <row r="244" spans="13:15" x14ac:dyDescent="0.2">
      <c r="M244" s="23"/>
      <c r="N244" s="23"/>
      <c r="O244" s="23"/>
    </row>
    <row r="245" spans="13:15" x14ac:dyDescent="0.2">
      <c r="M245" s="23"/>
      <c r="N245" s="23"/>
      <c r="O245" s="23"/>
    </row>
    <row r="246" spans="13:15" x14ac:dyDescent="0.2">
      <c r="M246" s="23"/>
      <c r="N246" s="23"/>
      <c r="O246" s="23"/>
    </row>
    <row r="247" spans="13:15" x14ac:dyDescent="0.2">
      <c r="M247" s="23"/>
      <c r="N247" s="23"/>
      <c r="O247" s="23"/>
    </row>
    <row r="248" spans="13:15" x14ac:dyDescent="0.2">
      <c r="M248" s="23"/>
      <c r="N248" s="23"/>
      <c r="O248" s="23"/>
    </row>
    <row r="249" spans="13:15" x14ac:dyDescent="0.2">
      <c r="M249" s="23"/>
      <c r="N249" s="23"/>
      <c r="O249" s="23"/>
    </row>
    <row r="250" spans="13:15" x14ac:dyDescent="0.2">
      <c r="M250" s="23"/>
      <c r="N250" s="23"/>
      <c r="O250" s="23"/>
    </row>
    <row r="251" spans="13:15" x14ac:dyDescent="0.2">
      <c r="M251" s="23"/>
      <c r="N251" s="23"/>
      <c r="O251" s="23"/>
    </row>
    <row r="252" spans="13:15" x14ac:dyDescent="0.2">
      <c r="M252" s="23"/>
      <c r="N252" s="23"/>
      <c r="O252" s="23"/>
    </row>
    <row r="253" spans="13:15" x14ac:dyDescent="0.2">
      <c r="M253" s="23"/>
      <c r="N253" s="23"/>
      <c r="O253" s="23"/>
    </row>
    <row r="254" spans="13:15" x14ac:dyDescent="0.2">
      <c r="M254" s="23"/>
      <c r="N254" s="23"/>
      <c r="O254" s="23"/>
    </row>
    <row r="255" spans="13:15" x14ac:dyDescent="0.2">
      <c r="M255" s="23"/>
      <c r="N255" s="23"/>
      <c r="O255" s="23"/>
    </row>
    <row r="256" spans="13:15" x14ac:dyDescent="0.2">
      <c r="M256" s="23"/>
      <c r="N256" s="23"/>
      <c r="O256" s="23"/>
    </row>
    <row r="257" spans="13:15" x14ac:dyDescent="0.2">
      <c r="M257" s="23"/>
      <c r="N257" s="23"/>
      <c r="O257" s="23"/>
    </row>
    <row r="258" spans="13:15" x14ac:dyDescent="0.2">
      <c r="M258" s="23"/>
      <c r="N258" s="23"/>
      <c r="O258" s="23"/>
    </row>
    <row r="259" spans="13:15" x14ac:dyDescent="0.2">
      <c r="M259" s="23"/>
      <c r="N259" s="23"/>
      <c r="O259" s="23"/>
    </row>
    <row r="260" spans="13:15" x14ac:dyDescent="0.2">
      <c r="M260" s="23"/>
      <c r="N260" s="23"/>
      <c r="O260" s="23"/>
    </row>
    <row r="261" spans="13:15" x14ac:dyDescent="0.2">
      <c r="M261" s="23"/>
      <c r="N261" s="23"/>
      <c r="O261" s="23"/>
    </row>
    <row r="262" spans="13:15" x14ac:dyDescent="0.2">
      <c r="M262" s="23"/>
      <c r="N262" s="23"/>
      <c r="O262" s="23"/>
    </row>
    <row r="263" spans="13:15" x14ac:dyDescent="0.2">
      <c r="M263" s="23"/>
      <c r="N263" s="23"/>
      <c r="O263" s="23"/>
    </row>
    <row r="264" spans="13:15" x14ac:dyDescent="0.2">
      <c r="M264" s="23"/>
      <c r="N264" s="23"/>
      <c r="O264" s="23"/>
    </row>
    <row r="265" spans="13:15" x14ac:dyDescent="0.2">
      <c r="M265" s="23"/>
      <c r="N265" s="23"/>
      <c r="O265" s="23"/>
    </row>
    <row r="266" spans="13:15" x14ac:dyDescent="0.2">
      <c r="M266" s="23"/>
      <c r="N266" s="23"/>
      <c r="O266" s="23"/>
    </row>
    <row r="267" spans="13:15" x14ac:dyDescent="0.2">
      <c r="M267" s="23"/>
      <c r="N267" s="23"/>
      <c r="O267" s="23"/>
    </row>
    <row r="268" spans="13:15" x14ac:dyDescent="0.2">
      <c r="M268" s="23"/>
      <c r="N268" s="23"/>
      <c r="O268" s="23"/>
    </row>
    <row r="269" spans="13:15" x14ac:dyDescent="0.2">
      <c r="M269" s="23"/>
      <c r="N269" s="23"/>
      <c r="O269" s="23"/>
    </row>
    <row r="270" spans="13:15" x14ac:dyDescent="0.2">
      <c r="M270" s="23"/>
      <c r="N270" s="23"/>
      <c r="O270" s="23"/>
    </row>
    <row r="271" spans="13:15" x14ac:dyDescent="0.2">
      <c r="M271" s="23"/>
      <c r="N271" s="23"/>
      <c r="O271" s="23"/>
    </row>
    <row r="272" spans="13:15" x14ac:dyDescent="0.2">
      <c r="M272" s="23"/>
      <c r="N272" s="23"/>
      <c r="O272" s="23"/>
    </row>
    <row r="273" spans="13:15" x14ac:dyDescent="0.2">
      <c r="M273" s="23"/>
      <c r="N273" s="23"/>
      <c r="O273" s="23"/>
    </row>
    <row r="274" spans="13:15" x14ac:dyDescent="0.2">
      <c r="M274" s="23"/>
      <c r="N274" s="23"/>
      <c r="O274" s="23"/>
    </row>
    <row r="275" spans="13:15" x14ac:dyDescent="0.2">
      <c r="M275" s="23"/>
      <c r="N275" s="23"/>
      <c r="O275" s="23"/>
    </row>
    <row r="276" spans="13:15" x14ac:dyDescent="0.2">
      <c r="M276" s="23"/>
      <c r="N276" s="23"/>
      <c r="O276" s="23"/>
    </row>
    <row r="277" spans="13:15" x14ac:dyDescent="0.2">
      <c r="M277" s="23"/>
      <c r="N277" s="23"/>
      <c r="O277" s="23"/>
    </row>
    <row r="278" spans="13:15" x14ac:dyDescent="0.2">
      <c r="M278" s="23"/>
      <c r="N278" s="23"/>
      <c r="O278" s="23"/>
    </row>
    <row r="279" spans="13:15" x14ac:dyDescent="0.2">
      <c r="M279" s="23"/>
      <c r="N279" s="23"/>
      <c r="O279" s="23"/>
    </row>
    <row r="280" spans="13:15" x14ac:dyDescent="0.2">
      <c r="M280" s="23"/>
      <c r="N280" s="23"/>
      <c r="O280" s="23"/>
    </row>
    <row r="281" spans="13:15" x14ac:dyDescent="0.2">
      <c r="M281" s="23"/>
      <c r="N281" s="23"/>
      <c r="O281" s="23"/>
    </row>
    <row r="282" spans="13:15" x14ac:dyDescent="0.2">
      <c r="M282" s="23"/>
      <c r="N282" s="23"/>
      <c r="O282" s="23"/>
    </row>
    <row r="283" spans="13:15" x14ac:dyDescent="0.2">
      <c r="M283" s="23"/>
      <c r="N283" s="23"/>
      <c r="O283" s="23"/>
    </row>
    <row r="284" spans="13:15" x14ac:dyDescent="0.2">
      <c r="M284" s="23"/>
      <c r="N284" s="23"/>
      <c r="O284" s="23"/>
    </row>
    <row r="285" spans="13:15" x14ac:dyDescent="0.2">
      <c r="M285" s="23"/>
      <c r="N285" s="23"/>
      <c r="O285" s="23"/>
    </row>
    <row r="286" spans="13:15" x14ac:dyDescent="0.2">
      <c r="M286" s="23"/>
      <c r="N286" s="23"/>
      <c r="O286" s="23"/>
    </row>
    <row r="287" spans="13:15" x14ac:dyDescent="0.2">
      <c r="M287" s="23"/>
      <c r="N287" s="23"/>
      <c r="O287" s="23"/>
    </row>
    <row r="288" spans="13:15" x14ac:dyDescent="0.2">
      <c r="M288" s="23"/>
      <c r="N288" s="23"/>
      <c r="O288" s="23"/>
    </row>
    <row r="289" spans="13:15" x14ac:dyDescent="0.2">
      <c r="M289" s="23"/>
      <c r="N289" s="23"/>
      <c r="O289" s="23"/>
    </row>
    <row r="290" spans="13:15" x14ac:dyDescent="0.2">
      <c r="M290" s="23"/>
      <c r="N290" s="23"/>
      <c r="O290" s="23"/>
    </row>
    <row r="291" spans="13:15" x14ac:dyDescent="0.2">
      <c r="M291" s="23"/>
      <c r="N291" s="23"/>
      <c r="O291" s="23"/>
    </row>
    <row r="292" spans="13:15" x14ac:dyDescent="0.2">
      <c r="M292" s="23"/>
      <c r="N292" s="23"/>
      <c r="O292" s="23"/>
    </row>
    <row r="293" spans="13:15" x14ac:dyDescent="0.2">
      <c r="M293" s="23"/>
      <c r="N293" s="23"/>
      <c r="O293" s="23"/>
    </row>
    <row r="294" spans="13:15" x14ac:dyDescent="0.2">
      <c r="M294" s="23"/>
      <c r="N294" s="23"/>
      <c r="O294" s="23"/>
    </row>
    <row r="295" spans="13:15" x14ac:dyDescent="0.2">
      <c r="M295" s="23"/>
      <c r="N295" s="23"/>
      <c r="O295" s="23"/>
    </row>
    <row r="296" spans="13:15" x14ac:dyDescent="0.2">
      <c r="M296" s="23"/>
      <c r="N296" s="23"/>
      <c r="O296" s="23"/>
    </row>
    <row r="297" spans="13:15" x14ac:dyDescent="0.2">
      <c r="M297" s="23"/>
      <c r="N297" s="23"/>
      <c r="O297" s="23"/>
    </row>
    <row r="298" spans="13:15" x14ac:dyDescent="0.2">
      <c r="M298" s="23"/>
      <c r="N298" s="23"/>
      <c r="O298" s="23"/>
    </row>
    <row r="299" spans="13:15" x14ac:dyDescent="0.2">
      <c r="M299" s="23"/>
      <c r="N299" s="23"/>
      <c r="O299" s="23"/>
    </row>
    <row r="300" spans="13:15" x14ac:dyDescent="0.2">
      <c r="M300" s="23"/>
      <c r="N300" s="23"/>
      <c r="O300" s="23"/>
    </row>
    <row r="301" spans="13:15" x14ac:dyDescent="0.2">
      <c r="M301" s="23"/>
      <c r="N301" s="23"/>
      <c r="O301" s="23"/>
    </row>
    <row r="302" spans="13:15" x14ac:dyDescent="0.2">
      <c r="M302" s="23"/>
      <c r="N302" s="23"/>
      <c r="O302" s="23"/>
    </row>
    <row r="303" spans="13:15" x14ac:dyDescent="0.2">
      <c r="M303" s="23"/>
      <c r="N303" s="23"/>
      <c r="O303" s="23"/>
    </row>
    <row r="304" spans="13:15" x14ac:dyDescent="0.2">
      <c r="M304" s="23"/>
      <c r="N304" s="23"/>
      <c r="O304" s="23"/>
    </row>
    <row r="305" spans="13:15" x14ac:dyDescent="0.2">
      <c r="M305" s="23"/>
      <c r="N305" s="23"/>
      <c r="O305" s="23"/>
    </row>
    <row r="306" spans="13:15" x14ac:dyDescent="0.2">
      <c r="M306" s="23"/>
      <c r="N306" s="23"/>
      <c r="O306" s="23"/>
    </row>
    <row r="307" spans="13:15" x14ac:dyDescent="0.2">
      <c r="M307" s="23"/>
      <c r="N307" s="23"/>
      <c r="O307" s="23"/>
    </row>
    <row r="308" spans="13:15" x14ac:dyDescent="0.2">
      <c r="M308" s="23"/>
      <c r="N308" s="23"/>
      <c r="O308" s="23"/>
    </row>
    <row r="309" spans="13:15" x14ac:dyDescent="0.2">
      <c r="M309" s="23"/>
      <c r="N309" s="23"/>
      <c r="O309" s="23"/>
    </row>
    <row r="310" spans="13:15" x14ac:dyDescent="0.2">
      <c r="M310" s="23"/>
      <c r="N310" s="23"/>
      <c r="O310" s="23"/>
    </row>
    <row r="311" spans="13:15" x14ac:dyDescent="0.2">
      <c r="M311" s="23"/>
      <c r="N311" s="23"/>
      <c r="O311" s="23"/>
    </row>
    <row r="312" spans="13:15" x14ac:dyDescent="0.2">
      <c r="M312" s="23"/>
      <c r="N312" s="23"/>
      <c r="O312" s="23"/>
    </row>
    <row r="313" spans="13:15" x14ac:dyDescent="0.2">
      <c r="M313" s="23"/>
      <c r="N313" s="23"/>
      <c r="O313" s="23"/>
    </row>
    <row r="314" spans="13:15" x14ac:dyDescent="0.2">
      <c r="M314" s="23"/>
      <c r="N314" s="23"/>
      <c r="O314" s="23"/>
    </row>
    <row r="315" spans="13:15" x14ac:dyDescent="0.2">
      <c r="M315" s="23"/>
      <c r="N315" s="23"/>
      <c r="O315" s="23"/>
    </row>
    <row r="316" spans="13:15" x14ac:dyDescent="0.2">
      <c r="M316" s="23"/>
      <c r="N316" s="23"/>
      <c r="O316" s="23"/>
    </row>
    <row r="317" spans="13:15" x14ac:dyDescent="0.2">
      <c r="M317" s="23"/>
      <c r="N317" s="23"/>
      <c r="O317" s="23"/>
    </row>
    <row r="318" spans="13:15" x14ac:dyDescent="0.2">
      <c r="M318" s="23"/>
      <c r="N318" s="23"/>
      <c r="O318" s="23"/>
    </row>
    <row r="319" spans="13:15" x14ac:dyDescent="0.2">
      <c r="M319" s="23"/>
      <c r="N319" s="23"/>
      <c r="O319" s="23"/>
    </row>
    <row r="320" spans="13:15" x14ac:dyDescent="0.2">
      <c r="M320" s="23"/>
      <c r="N320" s="23"/>
      <c r="O320" s="23"/>
    </row>
    <row r="321" spans="13:15" x14ac:dyDescent="0.2">
      <c r="M321" s="23"/>
      <c r="N321" s="23"/>
      <c r="O321" s="23"/>
    </row>
    <row r="322" spans="13:15" x14ac:dyDescent="0.2">
      <c r="M322" s="23"/>
      <c r="N322" s="23"/>
      <c r="O322" s="23"/>
    </row>
    <row r="323" spans="13:15" x14ac:dyDescent="0.2">
      <c r="M323" s="23"/>
      <c r="N323" s="23"/>
      <c r="O323" s="23"/>
    </row>
    <row r="324" spans="13:15" x14ac:dyDescent="0.2">
      <c r="M324" s="23"/>
      <c r="N324" s="23"/>
      <c r="O324" s="23"/>
    </row>
    <row r="325" spans="13:15" x14ac:dyDescent="0.2">
      <c r="M325" s="23"/>
      <c r="N325" s="23"/>
      <c r="O325" s="23"/>
    </row>
    <row r="326" spans="13:15" x14ac:dyDescent="0.2">
      <c r="M326" s="23"/>
      <c r="N326" s="23"/>
      <c r="O326" s="23"/>
    </row>
    <row r="327" spans="13:15" x14ac:dyDescent="0.2">
      <c r="M327" s="23"/>
      <c r="N327" s="23"/>
      <c r="O327" s="23"/>
    </row>
    <row r="328" spans="13:15" x14ac:dyDescent="0.2">
      <c r="M328" s="23"/>
      <c r="N328" s="23"/>
      <c r="O328" s="23"/>
    </row>
    <row r="329" spans="13:15" x14ac:dyDescent="0.2">
      <c r="M329" s="23"/>
      <c r="N329" s="23"/>
      <c r="O329" s="23"/>
    </row>
    <row r="330" spans="13:15" x14ac:dyDescent="0.2">
      <c r="M330" s="23"/>
      <c r="N330" s="23"/>
      <c r="O330" s="23"/>
    </row>
    <row r="331" spans="13:15" x14ac:dyDescent="0.2">
      <c r="M331" s="23"/>
      <c r="N331" s="23"/>
      <c r="O331" s="23"/>
    </row>
    <row r="332" spans="13:15" x14ac:dyDescent="0.2">
      <c r="M332" s="23"/>
      <c r="N332" s="23"/>
      <c r="O332" s="23"/>
    </row>
    <row r="333" spans="13:15" x14ac:dyDescent="0.2">
      <c r="M333" s="23"/>
      <c r="N333" s="23"/>
      <c r="O333" s="23"/>
    </row>
    <row r="334" spans="13:15" x14ac:dyDescent="0.2">
      <c r="M334" s="23"/>
      <c r="N334" s="23"/>
      <c r="O334" s="23"/>
    </row>
    <row r="335" spans="13:15" x14ac:dyDescent="0.2">
      <c r="M335" s="23"/>
      <c r="N335" s="23"/>
      <c r="O335" s="23"/>
    </row>
    <row r="336" spans="13:15" x14ac:dyDescent="0.2">
      <c r="M336" s="23"/>
      <c r="N336" s="23"/>
      <c r="O336" s="23"/>
    </row>
    <row r="337" spans="13:15" x14ac:dyDescent="0.2">
      <c r="M337" s="23"/>
      <c r="N337" s="23"/>
      <c r="O337" s="23"/>
    </row>
    <row r="338" spans="13:15" x14ac:dyDescent="0.2">
      <c r="M338" s="23"/>
      <c r="N338" s="23"/>
      <c r="O338" s="23"/>
    </row>
    <row r="339" spans="13:15" x14ac:dyDescent="0.2">
      <c r="M339" s="23"/>
      <c r="N339" s="23"/>
      <c r="O339" s="23"/>
    </row>
    <row r="340" spans="13:15" x14ac:dyDescent="0.2">
      <c r="M340" s="23"/>
      <c r="N340" s="23"/>
      <c r="O340" s="23"/>
    </row>
    <row r="341" spans="13:15" x14ac:dyDescent="0.2">
      <c r="M341" s="23"/>
      <c r="N341" s="23"/>
      <c r="O341" s="23"/>
    </row>
    <row r="342" spans="13:15" x14ac:dyDescent="0.2">
      <c r="M342" s="23"/>
      <c r="N342" s="23"/>
      <c r="O342" s="23"/>
    </row>
    <row r="343" spans="13:15" x14ac:dyDescent="0.2">
      <c r="M343" s="23"/>
      <c r="N343" s="23"/>
      <c r="O343" s="23"/>
    </row>
    <row r="344" spans="13:15" x14ac:dyDescent="0.2">
      <c r="M344" s="23"/>
      <c r="N344" s="23"/>
      <c r="O344" s="23"/>
    </row>
    <row r="345" spans="13:15" x14ac:dyDescent="0.2">
      <c r="M345" s="23"/>
      <c r="N345" s="23"/>
      <c r="O345" s="23"/>
    </row>
    <row r="346" spans="13:15" x14ac:dyDescent="0.2">
      <c r="M346" s="23"/>
      <c r="N346" s="23"/>
      <c r="O346" s="23"/>
    </row>
    <row r="347" spans="13:15" x14ac:dyDescent="0.2">
      <c r="M347" s="23"/>
      <c r="N347" s="23"/>
      <c r="O347" s="23"/>
    </row>
    <row r="348" spans="13:15" x14ac:dyDescent="0.2">
      <c r="M348" s="23"/>
      <c r="N348" s="23"/>
      <c r="O348" s="23"/>
    </row>
    <row r="349" spans="13:15" x14ac:dyDescent="0.2">
      <c r="M349" s="23"/>
      <c r="N349" s="23"/>
      <c r="O349" s="23"/>
    </row>
    <row r="350" spans="13:15" x14ac:dyDescent="0.2">
      <c r="M350" s="23"/>
      <c r="N350" s="23"/>
      <c r="O350" s="23"/>
    </row>
    <row r="351" spans="13:15" x14ac:dyDescent="0.2">
      <c r="M351" s="23"/>
      <c r="N351" s="23"/>
      <c r="O351" s="23"/>
    </row>
    <row r="352" spans="13:15" x14ac:dyDescent="0.2">
      <c r="M352" s="23"/>
      <c r="N352" s="23"/>
      <c r="O352" s="23"/>
    </row>
    <row r="353" spans="13:15" x14ac:dyDescent="0.2">
      <c r="M353" s="23"/>
      <c r="N353" s="23"/>
      <c r="O353" s="23"/>
    </row>
    <row r="354" spans="13:15" x14ac:dyDescent="0.2">
      <c r="M354" s="23"/>
      <c r="N354" s="23"/>
      <c r="O354" s="23"/>
    </row>
    <row r="355" spans="13:15" x14ac:dyDescent="0.2">
      <c r="M355" s="23"/>
      <c r="N355" s="23"/>
      <c r="O355" s="23"/>
    </row>
    <row r="356" spans="13:15" x14ac:dyDescent="0.2">
      <c r="M356" s="23"/>
      <c r="N356" s="23"/>
      <c r="O356" s="23"/>
    </row>
    <row r="357" spans="13:15" x14ac:dyDescent="0.2">
      <c r="M357" s="23"/>
      <c r="N357" s="23"/>
      <c r="O357" s="23"/>
    </row>
    <row r="358" spans="13:15" x14ac:dyDescent="0.2">
      <c r="M358" s="23"/>
      <c r="N358" s="23"/>
      <c r="O358" s="23"/>
    </row>
    <row r="359" spans="13:15" x14ac:dyDescent="0.2">
      <c r="M359" s="23"/>
      <c r="N359" s="23"/>
      <c r="O359" s="23"/>
    </row>
    <row r="360" spans="13:15" x14ac:dyDescent="0.2">
      <c r="M360" s="23"/>
      <c r="N360" s="23"/>
      <c r="O360" s="23"/>
    </row>
    <row r="361" spans="13:15" x14ac:dyDescent="0.2">
      <c r="M361" s="23"/>
      <c r="N361" s="23"/>
      <c r="O361" s="23"/>
    </row>
    <row r="362" spans="13:15" x14ac:dyDescent="0.2">
      <c r="M362" s="23"/>
      <c r="N362" s="23"/>
      <c r="O362" s="23"/>
    </row>
    <row r="363" spans="13:15" x14ac:dyDescent="0.2">
      <c r="M363" s="23"/>
      <c r="N363" s="23"/>
      <c r="O363" s="23"/>
    </row>
    <row r="364" spans="13:15" x14ac:dyDescent="0.2">
      <c r="M364" s="23"/>
      <c r="N364" s="23"/>
      <c r="O364" s="23"/>
    </row>
    <row r="365" spans="13:15" x14ac:dyDescent="0.2">
      <c r="M365" s="23"/>
      <c r="N365" s="23"/>
      <c r="O365" s="23"/>
    </row>
    <row r="366" spans="13:15" x14ac:dyDescent="0.2">
      <c r="M366" s="23"/>
      <c r="N366" s="23"/>
      <c r="O366" s="23"/>
    </row>
    <row r="367" spans="13:15" x14ac:dyDescent="0.2">
      <c r="M367" s="23"/>
      <c r="N367" s="23"/>
      <c r="O367" s="23"/>
    </row>
    <row r="368" spans="13:15" x14ac:dyDescent="0.2">
      <c r="M368" s="23"/>
      <c r="N368" s="23"/>
      <c r="O368" s="23"/>
    </row>
    <row r="369" spans="13:15" x14ac:dyDescent="0.2">
      <c r="M369" s="23"/>
      <c r="N369" s="23"/>
      <c r="O369" s="23"/>
    </row>
    <row r="370" spans="13:15" x14ac:dyDescent="0.2">
      <c r="M370" s="23"/>
      <c r="N370" s="23"/>
      <c r="O370" s="23"/>
    </row>
    <row r="371" spans="13:15" x14ac:dyDescent="0.2">
      <c r="M371" s="23"/>
      <c r="N371" s="23"/>
      <c r="O371" s="23"/>
    </row>
    <row r="372" spans="13:15" x14ac:dyDescent="0.2">
      <c r="M372" s="23"/>
      <c r="N372" s="23"/>
      <c r="O372" s="23"/>
    </row>
    <row r="373" spans="13:15" x14ac:dyDescent="0.2">
      <c r="M373" s="23"/>
      <c r="N373" s="23"/>
      <c r="O373" s="23"/>
    </row>
    <row r="374" spans="13:15" x14ac:dyDescent="0.2">
      <c r="M374" s="23"/>
      <c r="N374" s="23"/>
      <c r="O374" s="23"/>
    </row>
    <row r="375" spans="13:15" x14ac:dyDescent="0.2">
      <c r="M375" s="23"/>
      <c r="N375" s="23"/>
      <c r="O375" s="23"/>
    </row>
    <row r="376" spans="13:15" x14ac:dyDescent="0.2">
      <c r="M376" s="23"/>
      <c r="N376" s="23"/>
      <c r="O376" s="23"/>
    </row>
    <row r="377" spans="13:15" x14ac:dyDescent="0.2">
      <c r="M377" s="23"/>
      <c r="N377" s="23"/>
      <c r="O377" s="23"/>
    </row>
    <row r="378" spans="13:15" x14ac:dyDescent="0.2">
      <c r="M378" s="23"/>
      <c r="N378" s="23"/>
      <c r="O378" s="23"/>
    </row>
    <row r="379" spans="13:15" x14ac:dyDescent="0.2">
      <c r="M379" s="23"/>
      <c r="N379" s="23"/>
      <c r="O379" s="23"/>
    </row>
    <row r="380" spans="13:15" x14ac:dyDescent="0.2">
      <c r="M380" s="23"/>
      <c r="N380" s="23"/>
      <c r="O380" s="23"/>
    </row>
    <row r="381" spans="13:15" x14ac:dyDescent="0.2">
      <c r="M381" s="23"/>
      <c r="N381" s="23"/>
      <c r="O381" s="23"/>
    </row>
    <row r="382" spans="13:15" x14ac:dyDescent="0.2">
      <c r="M382" s="23"/>
      <c r="N382" s="23"/>
      <c r="O382" s="23"/>
    </row>
    <row r="383" spans="13:15" x14ac:dyDescent="0.2">
      <c r="M383" s="23"/>
      <c r="N383" s="23"/>
      <c r="O383" s="23"/>
    </row>
    <row r="384" spans="13:15" x14ac:dyDescent="0.2">
      <c r="M384" s="23"/>
      <c r="N384" s="23"/>
      <c r="O384" s="23"/>
    </row>
    <row r="385" spans="13:15" x14ac:dyDescent="0.2">
      <c r="M385" s="23"/>
      <c r="N385" s="23"/>
      <c r="O385" s="23"/>
    </row>
    <row r="386" spans="13:15" x14ac:dyDescent="0.2">
      <c r="M386" s="23"/>
      <c r="N386" s="23"/>
      <c r="O386" s="23"/>
    </row>
    <row r="387" spans="13:15" x14ac:dyDescent="0.2">
      <c r="M387" s="23"/>
      <c r="N387" s="23"/>
      <c r="O387" s="23"/>
    </row>
    <row r="388" spans="13:15" x14ac:dyDescent="0.2">
      <c r="M388" s="23"/>
      <c r="N388" s="23"/>
      <c r="O388" s="23"/>
    </row>
    <row r="389" spans="13:15" x14ac:dyDescent="0.2">
      <c r="M389" s="23"/>
      <c r="N389" s="23"/>
      <c r="O389" s="23"/>
    </row>
    <row r="390" spans="13:15" x14ac:dyDescent="0.2">
      <c r="M390" s="23"/>
      <c r="N390" s="23"/>
      <c r="O390" s="23"/>
    </row>
    <row r="391" spans="13:15" x14ac:dyDescent="0.2">
      <c r="M391" s="23"/>
      <c r="N391" s="23"/>
      <c r="O391" s="23"/>
    </row>
    <row r="392" spans="13:15" x14ac:dyDescent="0.2">
      <c r="M392" s="23"/>
      <c r="N392" s="23"/>
      <c r="O392" s="23"/>
    </row>
    <row r="393" spans="13:15" x14ac:dyDescent="0.2">
      <c r="M393" s="23"/>
      <c r="N393" s="23"/>
      <c r="O393" s="23"/>
    </row>
    <row r="394" spans="13:15" x14ac:dyDescent="0.2">
      <c r="M394" s="23"/>
      <c r="N394" s="23"/>
      <c r="O394" s="23"/>
    </row>
    <row r="395" spans="13:15" x14ac:dyDescent="0.2">
      <c r="M395" s="23"/>
      <c r="N395" s="23"/>
      <c r="O395" s="23"/>
    </row>
    <row r="396" spans="13:15" x14ac:dyDescent="0.2">
      <c r="M396" s="23"/>
      <c r="N396" s="23"/>
      <c r="O396" s="23"/>
    </row>
    <row r="397" spans="13:15" x14ac:dyDescent="0.2">
      <c r="M397" s="23"/>
      <c r="N397" s="23"/>
      <c r="O397" s="23"/>
    </row>
    <row r="398" spans="13:15" x14ac:dyDescent="0.2">
      <c r="M398" s="23"/>
      <c r="N398" s="23"/>
      <c r="O398" s="23"/>
    </row>
  </sheetData>
  <sheetProtection algorithmName="SHA-512" hashValue="Izsiepf9P7IFeTFUpaY9krHIjkLdSMrlDdiWaO3mifpM8dNqhO+AsI2affQ/ufEsVUOzi0imyVJP2cqTpGAU+g==" saltValue="uoGrgTckzMtdtXcA6wMUWw==" spinCount="100000" sheet="1" objects="1" scenarios="1"/>
  <mergeCells count="3">
    <mergeCell ref="A3:A4"/>
    <mergeCell ref="A180:P181"/>
    <mergeCell ref="A186:P187"/>
  </mergeCells>
  <phoneticPr fontId="0" type="noConversion"/>
  <printOptions horizontalCentered="1"/>
  <pageMargins left="0.17" right="0.16" top="0.53" bottom="0.66" header="0.5" footer="0.37"/>
  <pageSetup scale="76" fitToHeight="4" orientation="landscape" r:id="rId1"/>
  <headerFooter alignWithMargins="0">
    <oddFooter>&amp;LHawai'i DOH
(Summer 2016)&amp;C&amp;8Page &amp;P of &amp;N&amp;R&amp;A</oddFooter>
  </headerFooter>
  <rowBreaks count="1" manualBreakCount="1">
    <brk id="1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Tier 2 Direct Exposure ALs</vt:lpstr>
      <vt:lpstr>Soil DE Model Factors</vt:lpstr>
      <vt:lpstr>Tier 2 Calculations Detailed</vt:lpstr>
      <vt:lpstr>Table H (Constants)</vt:lpstr>
      <vt:lpstr>Table J (Target Health Effects)</vt:lpstr>
      <vt:lpstr>'Soil DE Model Factors'!Print_Area</vt:lpstr>
      <vt:lpstr>'Table H (Constants)'!Print_Area</vt:lpstr>
      <vt:lpstr>'Tier 2 Direct Exposure ALs'!Print_Area</vt:lpstr>
      <vt:lpstr>'Table H (Constants)'!Print_Titles</vt:lpstr>
      <vt:lpstr>'Table J (Target Health Effects)'!Print_Titles</vt:lpstr>
      <vt:lpstr>'Tier 2 Calculations Detailed'!Print_Titles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Brewer, Roger C</cp:lastModifiedBy>
  <cp:lastPrinted>2016-08-03T19:07:27Z</cp:lastPrinted>
  <dcterms:created xsi:type="dcterms:W3CDTF">1999-05-06T02:39:42Z</dcterms:created>
  <dcterms:modified xsi:type="dcterms:W3CDTF">2017-10-26T21:20:57Z</dcterms:modified>
</cp:coreProperties>
</file>